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codeName="ThisWorkbook" defaultThemeVersion="124226"/>
  <mc:AlternateContent xmlns:mc="http://schemas.openxmlformats.org/markup-compatibility/2006">
    <mc:Choice Requires="x15">
      <x15ac:absPath xmlns:x15ac="http://schemas.microsoft.com/office/spreadsheetml/2010/11/ac" url="\\isg-bur-file\IT Information Systems\NEW AMDOR ORDER - QUOTE FORM\Leonard Working Folder\"/>
    </mc:Choice>
  </mc:AlternateContent>
  <xr:revisionPtr revIDLastSave="0" documentId="8_{E921E96F-F3A9-4383-A097-008C5F838533}" xr6:coauthVersionLast="47" xr6:coauthVersionMax="47" xr10:uidLastSave="{00000000-0000-0000-0000-000000000000}"/>
  <bookViews>
    <workbookView xWindow="2925" yWindow="6510" windowWidth="23940" windowHeight="12645" tabRatio="724" xr2:uid="{00000000-000D-0000-FFFF-FFFF00000000}"/>
  </bookViews>
  <sheets>
    <sheet name="ORDER - QUOTE FORM" sheetId="1" r:id="rId1"/>
    <sheet name="COMPONENTS" sheetId="6" r:id="rId2"/>
    <sheet name="PARTS DIAGRAM" sheetId="7" r:id="rId3"/>
    <sheet name=" " sheetId="5" r:id="rId4"/>
    <sheet name="-" sheetId="2" r:id="rId5"/>
  </sheets>
  <definedNames>
    <definedName name="_xlnm._FilterDatabase" localSheetId="3" hidden="1">' '!$H$21:$H$32</definedName>
    <definedName name="AMLOK">' '!$D$40:$D$43</definedName>
    <definedName name="AOPTION">' '!$B$40:$B$43</definedName>
    <definedName name="CONFIG">' '!$B$5:$B$7</definedName>
    <definedName name="CTG">' '!$N$7:$N$8</definedName>
    <definedName name="DAS">' '!$J$19:$J$21</definedName>
    <definedName name="DIVISION">#REF!</definedName>
    <definedName name="DOPTION">' '!$L$19:$L$30</definedName>
    <definedName name="DS">' '!$N$40:$N$42</definedName>
    <definedName name="FINISH">' '!$D$5:$D$11</definedName>
    <definedName name="KL">' '!$F$40:$F$45</definedName>
    <definedName name="LB">' '!$B$53:$B$58</definedName>
    <definedName name="LENGTH">' '!$F$53:$F$86</definedName>
    <definedName name="LIFT">' '!$H$40:$H$42</definedName>
    <definedName name="LOPTION">' '!$D$53:$D$63</definedName>
    <definedName name="NP">' '!$L$40:$L$42</definedName>
    <definedName name="PAINT">' '!$F$5:$F$7</definedName>
    <definedName name="PAINTED">' '!$D$8:$D$9</definedName>
    <definedName name="POPTION">' '!$H$5:$H$8</definedName>
    <definedName name="_xlnm.Print_Area" localSheetId="0">'ORDER - QUOTE FORM'!$A$1:$L$63</definedName>
    <definedName name="PS">' '!$J$40:$J$48</definedName>
    <definedName name="SD">' '!$F$19:$F$21</definedName>
    <definedName name="SF">' '!$B$19:$B$21</definedName>
    <definedName name="SHOES">' '!$J$5:$J$6</definedName>
    <definedName name="SP">' '!$L$5:$L$11</definedName>
    <definedName name="STRIKERS">' '!$H$19:$H$32</definedName>
    <definedName name="TG">' '!$N$5:$N$11</definedName>
    <definedName name="TM">' '!$D$19:$D$20</definedName>
    <definedName name="XX">' '!$L$19:$L$19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7" i="1" l="1"/>
  <c r="I18" i="1" s="1"/>
  <c r="L17" i="1" l="1"/>
  <c r="L18" i="1" s="1"/>
  <c r="J17" i="1"/>
  <c r="C52" i="1"/>
  <c r="C51" i="1"/>
  <c r="C50" i="1"/>
  <c r="C49" i="1"/>
  <c r="C48" i="1"/>
  <c r="C47" i="1"/>
  <c r="C46" i="1"/>
  <c r="C45" i="1"/>
  <c r="C44" i="1"/>
  <c r="C43" i="1"/>
  <c r="G43" i="1" l="1"/>
  <c r="K30" i="1" l="1"/>
  <c r="K17" i="1" l="1"/>
  <c r="D43" i="1"/>
  <c r="D50" i="1" s="1"/>
  <c r="I43" i="1"/>
  <c r="I44" i="1" s="1"/>
  <c r="J43" i="1"/>
  <c r="K43" i="1" s="1"/>
  <c r="E30" i="1"/>
  <c r="F30" i="1" s="1"/>
  <c r="M17" i="1"/>
  <c r="A17" i="1" s="1"/>
  <c r="A30" i="1" s="1"/>
  <c r="A43" i="1" s="1"/>
  <c r="J30" i="1"/>
  <c r="J34" i="1" s="1"/>
  <c r="E35" i="1"/>
  <c r="F35" i="1" s="1"/>
  <c r="H43" i="1"/>
  <c r="H44" i="1" s="1"/>
  <c r="E6" i="1"/>
  <c r="K6" i="1"/>
  <c r="K7" i="1"/>
  <c r="F8" i="1"/>
  <c r="K8" i="1"/>
  <c r="K9" i="1"/>
  <c r="K10" i="1"/>
  <c r="K11" i="1"/>
  <c r="K12" i="1"/>
  <c r="C17" i="1"/>
  <c r="I26" i="1"/>
  <c r="B30" i="1"/>
  <c r="B43" i="1" s="1"/>
  <c r="D30" i="1"/>
  <c r="D33" i="1" s="1"/>
  <c r="G30" i="1"/>
  <c r="G32" i="1" s="1"/>
  <c r="H30" i="1"/>
  <c r="H31" i="1" s="1"/>
  <c r="I30" i="1"/>
  <c r="I32" i="1" s="1"/>
  <c r="L30" i="1"/>
  <c r="B31" i="1"/>
  <c r="B44" i="1" s="1"/>
  <c r="B32" i="1"/>
  <c r="B45" i="1" s="1"/>
  <c r="B33" i="1"/>
  <c r="B46" i="1" s="1"/>
  <c r="B34" i="1"/>
  <c r="B47" i="1" s="1"/>
  <c r="B35" i="1"/>
  <c r="B36" i="1"/>
  <c r="B49" i="1" s="1"/>
  <c r="B37" i="1"/>
  <c r="B50" i="1" s="1"/>
  <c r="B38" i="1"/>
  <c r="B39" i="1"/>
  <c r="B52" i="1" s="1"/>
  <c r="G44" i="1"/>
  <c r="B48" i="1"/>
  <c r="B51" i="1"/>
  <c r="H52" i="1"/>
  <c r="I52" i="1"/>
  <c r="K39" i="1"/>
  <c r="I51" i="1"/>
  <c r="H49" i="1"/>
  <c r="K36" i="1"/>
  <c r="K38" i="1"/>
  <c r="I23" i="1"/>
  <c r="I25" i="1"/>
  <c r="L25" i="1" s="1"/>
  <c r="K37" i="1"/>
  <c r="I24" i="1"/>
  <c r="L24" i="1" s="1"/>
  <c r="I48" i="1"/>
  <c r="J38" i="1"/>
  <c r="J37" i="1"/>
  <c r="J36" i="1"/>
  <c r="I49" i="1"/>
  <c r="I50" i="1"/>
  <c r="K35" i="1"/>
  <c r="J35" i="1"/>
  <c r="I19" i="2"/>
  <c r="I20" i="2"/>
  <c r="I21" i="2"/>
  <c r="I22" i="2"/>
  <c r="I23" i="2"/>
  <c r="I24" i="2"/>
  <c r="I25" i="2"/>
  <c r="I26" i="2"/>
  <c r="I27" i="2"/>
  <c r="I18" i="2"/>
  <c r="H12" i="5"/>
  <c r="A2" i="1"/>
  <c r="H14" i="5"/>
  <c r="H13" i="5"/>
  <c r="H57" i="5"/>
  <c r="G58" i="5" s="1"/>
  <c r="H58" i="5"/>
  <c r="G59" i="5" s="1"/>
  <c r="H59" i="5"/>
  <c r="G60" i="5" s="1"/>
  <c r="H60" i="5"/>
  <c r="G61" i="5" s="1"/>
  <c r="H61" i="5"/>
  <c r="G62" i="5" s="1"/>
  <c r="H62" i="5"/>
  <c r="G63" i="5" s="1"/>
  <c r="H63" i="5"/>
  <c r="G64" i="5" s="1"/>
  <c r="H64" i="5"/>
  <c r="H65" i="5"/>
  <c r="G66" i="5" s="1"/>
  <c r="H66" i="5"/>
  <c r="G67" i="5" s="1"/>
  <c r="H67" i="5"/>
  <c r="G68" i="5" s="1"/>
  <c r="H68" i="5"/>
  <c r="G69" i="5" s="1"/>
  <c r="H69" i="5"/>
  <c r="G70" i="5" s="1"/>
  <c r="H70" i="5"/>
  <c r="G71" i="5" s="1"/>
  <c r="H71" i="5"/>
  <c r="G72" i="5" s="1"/>
  <c r="H72" i="5"/>
  <c r="G73" i="5"/>
  <c r="H73" i="5"/>
  <c r="G74" i="5" s="1"/>
  <c r="H74" i="5"/>
  <c r="G75" i="5" s="1"/>
  <c r="H75" i="5"/>
  <c r="G76" i="5" s="1"/>
  <c r="H76" i="5"/>
  <c r="G77" i="5" s="1"/>
  <c r="H77" i="5"/>
  <c r="G78" i="5" s="1"/>
  <c r="H78" i="5"/>
  <c r="G79" i="5"/>
  <c r="H79" i="5"/>
  <c r="G80" i="5"/>
  <c r="H80" i="5"/>
  <c r="G81" i="5" s="1"/>
  <c r="H81" i="5"/>
  <c r="G82" i="5" s="1"/>
  <c r="H82" i="5"/>
  <c r="H83" i="5"/>
  <c r="G84" i="5" s="1"/>
  <c r="H84" i="5"/>
  <c r="G85" i="5" s="1"/>
  <c r="H85" i="5"/>
  <c r="G86" i="5" s="1"/>
  <c r="H86" i="5"/>
  <c r="G87" i="5"/>
  <c r="H56" i="5"/>
  <c r="G57" i="5" s="1"/>
  <c r="G65" i="5"/>
  <c r="G83" i="5"/>
  <c r="E19" i="2"/>
  <c r="G19" i="2" s="1"/>
  <c r="E20" i="2"/>
  <c r="J20" i="2" s="1"/>
  <c r="E21" i="2"/>
  <c r="G21" i="2" s="1"/>
  <c r="E22" i="2"/>
  <c r="G22" i="2" s="1"/>
  <c r="E23" i="2"/>
  <c r="G23" i="2" s="1"/>
  <c r="E24" i="2"/>
  <c r="G24" i="2" s="1"/>
  <c r="E25" i="2"/>
  <c r="G25" i="2" s="1"/>
  <c r="E26" i="2"/>
  <c r="G26" i="2" s="1"/>
  <c r="E27" i="2"/>
  <c r="G27" i="2" s="1"/>
  <c r="E18" i="2"/>
  <c r="D18" i="2"/>
  <c r="D19" i="2"/>
  <c r="D20" i="2"/>
  <c r="D21" i="2"/>
  <c r="D22" i="2"/>
  <c r="D23" i="2"/>
  <c r="D24" i="2"/>
  <c r="D25" i="2"/>
  <c r="D26" i="2"/>
  <c r="F26" i="2" s="1"/>
  <c r="D27" i="2"/>
  <c r="M26" i="1"/>
  <c r="A26" i="1" s="1"/>
  <c r="A39" i="1" s="1"/>
  <c r="A52" i="1" s="1"/>
  <c r="M25" i="1"/>
  <c r="A25" i="1" s="1"/>
  <c r="A38" i="1" s="1"/>
  <c r="A51" i="1" s="1"/>
  <c r="M24" i="1"/>
  <c r="A24" i="1" s="1"/>
  <c r="A37" i="1" s="1"/>
  <c r="A50" i="1" s="1"/>
  <c r="M23" i="1"/>
  <c r="A23" i="1" s="1"/>
  <c r="A36" i="1" s="1"/>
  <c r="A49" i="1" s="1"/>
  <c r="M22" i="1"/>
  <c r="A22" i="1" s="1"/>
  <c r="A35" i="1" s="1"/>
  <c r="A48" i="1" s="1"/>
  <c r="M21" i="1"/>
  <c r="A21" i="1" s="1"/>
  <c r="A34" i="1" s="1"/>
  <c r="A47" i="1" s="1"/>
  <c r="M20" i="1"/>
  <c r="A20" i="1" s="1"/>
  <c r="A33" i="1" s="1"/>
  <c r="A46" i="1" s="1"/>
  <c r="M19" i="1"/>
  <c r="A19" i="1" s="1"/>
  <c r="A32" i="1" s="1"/>
  <c r="A45" i="1" s="1"/>
  <c r="M18" i="1"/>
  <c r="A18" i="1" s="1"/>
  <c r="A31" i="1" s="1"/>
  <c r="A44" i="1" s="1"/>
  <c r="A43" i="5"/>
  <c r="D49" i="1"/>
  <c r="E49" i="1" s="1"/>
  <c r="E36" i="1"/>
  <c r="F36" i="1" s="1"/>
  <c r="E34" i="1"/>
  <c r="F34" i="1" s="1"/>
  <c r="E33" i="1"/>
  <c r="F33" i="1" s="1"/>
  <c r="J46" i="1"/>
  <c r="L46" i="1" s="1"/>
  <c r="K34" i="1"/>
  <c r="K32" i="1"/>
  <c r="K33" i="1"/>
  <c r="D47" i="1"/>
  <c r="E47" i="1" s="1"/>
  <c r="K31" i="1"/>
  <c r="I20" i="1"/>
  <c r="I19" i="1"/>
  <c r="I21" i="1"/>
  <c r="L21" i="1" s="1"/>
  <c r="H34" i="1"/>
  <c r="J47" i="1"/>
  <c r="K47" i="1" s="1"/>
  <c r="F27" i="2" l="1"/>
  <c r="F25" i="2"/>
  <c r="F24" i="2"/>
  <c r="F23" i="2"/>
  <c r="F19" i="2"/>
  <c r="K20" i="1"/>
  <c r="L20" i="1"/>
  <c r="J44" i="1"/>
  <c r="L44" i="1" s="1"/>
  <c r="K23" i="1"/>
  <c r="L23" i="1"/>
  <c r="K19" i="1"/>
  <c r="L19" i="1"/>
  <c r="K26" i="1"/>
  <c r="L26" i="1"/>
  <c r="J45" i="1"/>
  <c r="L45" i="1" s="1"/>
  <c r="F20" i="2"/>
  <c r="F21" i="2"/>
  <c r="C34" i="1"/>
  <c r="F22" i="2"/>
  <c r="I47" i="1"/>
  <c r="C19" i="1"/>
  <c r="C20" i="1"/>
  <c r="F18" i="2"/>
  <c r="D44" i="1"/>
  <c r="E44" i="1" s="1"/>
  <c r="I45" i="1"/>
  <c r="I46" i="1"/>
  <c r="F43" i="1"/>
  <c r="D46" i="1"/>
  <c r="E46" i="1" s="1"/>
  <c r="L43" i="1"/>
  <c r="E43" i="1"/>
  <c r="J33" i="1"/>
  <c r="L20" i="2"/>
  <c r="D52" i="1"/>
  <c r="E52" i="1" s="1"/>
  <c r="D32" i="1"/>
  <c r="E39" i="1"/>
  <c r="F39" i="1" s="1"/>
  <c r="H35" i="1"/>
  <c r="L35" i="1"/>
  <c r="D51" i="1"/>
  <c r="E51" i="1" s="1"/>
  <c r="H37" i="1"/>
  <c r="I22" i="1"/>
  <c r="D48" i="1"/>
  <c r="E48" i="1" s="1"/>
  <c r="H36" i="1"/>
  <c r="G38" i="1"/>
  <c r="J49" i="1"/>
  <c r="L49" i="1" s="1"/>
  <c r="J39" i="1"/>
  <c r="H38" i="1"/>
  <c r="L37" i="1"/>
  <c r="J48" i="1"/>
  <c r="K48" i="1" s="1"/>
  <c r="G35" i="1"/>
  <c r="D38" i="1"/>
  <c r="J51" i="1"/>
  <c r="K51" i="1" s="1"/>
  <c r="D35" i="1"/>
  <c r="G37" i="1"/>
  <c r="C30" i="1"/>
  <c r="C32" i="1" s="1"/>
  <c r="J31" i="1"/>
  <c r="D31" i="1"/>
  <c r="D45" i="1"/>
  <c r="E45" i="1" s="1"/>
  <c r="K25" i="2"/>
  <c r="L39" i="1"/>
  <c r="F48" i="1"/>
  <c r="L36" i="1"/>
  <c r="K26" i="2"/>
  <c r="E50" i="1"/>
  <c r="F50" i="1"/>
  <c r="D37" i="1"/>
  <c r="G39" i="1"/>
  <c r="F51" i="1"/>
  <c r="J50" i="1"/>
  <c r="K50" i="1" s="1"/>
  <c r="D39" i="1"/>
  <c r="J52" i="1"/>
  <c r="L52" i="1" s="1"/>
  <c r="G36" i="1"/>
  <c r="E37" i="1"/>
  <c r="F37" i="1" s="1"/>
  <c r="F49" i="1"/>
  <c r="C25" i="1"/>
  <c r="D36" i="1"/>
  <c r="L38" i="1"/>
  <c r="E38" i="1"/>
  <c r="F38" i="1" s="1"/>
  <c r="C26" i="1"/>
  <c r="K27" i="2"/>
  <c r="K24" i="2"/>
  <c r="K23" i="2"/>
  <c r="K22" i="2"/>
  <c r="K21" i="2"/>
  <c r="J25" i="2"/>
  <c r="L25" i="2" s="1"/>
  <c r="J24" i="2"/>
  <c r="L24" i="2" s="1"/>
  <c r="J23" i="2"/>
  <c r="L23" i="2" s="1"/>
  <c r="J21" i="2"/>
  <c r="L21" i="2" s="1"/>
  <c r="G20" i="2"/>
  <c r="K20" i="2" s="1"/>
  <c r="J26" i="2"/>
  <c r="L26" i="2" s="1"/>
  <c r="J27" i="2"/>
  <c r="L27" i="2" s="1"/>
  <c r="I38" i="1"/>
  <c r="G51" i="1"/>
  <c r="C22" i="1"/>
  <c r="G48" i="1"/>
  <c r="H51" i="1"/>
  <c r="G49" i="1"/>
  <c r="G52" i="1"/>
  <c r="I39" i="1"/>
  <c r="I36" i="1"/>
  <c r="F52" i="1"/>
  <c r="I37" i="1"/>
  <c r="C23" i="1"/>
  <c r="H48" i="1"/>
  <c r="I35" i="1"/>
  <c r="G47" i="1"/>
  <c r="C24" i="1"/>
  <c r="G50" i="1"/>
  <c r="H50" i="1"/>
  <c r="H39" i="1"/>
  <c r="H32" i="1"/>
  <c r="I31" i="1"/>
  <c r="I33" i="1"/>
  <c r="H33" i="1"/>
  <c r="G46" i="1"/>
  <c r="H46" i="1"/>
  <c r="G45" i="1"/>
  <c r="J22" i="2"/>
  <c r="L22" i="2" s="1"/>
  <c r="K46" i="1"/>
  <c r="C21" i="1"/>
  <c r="I34" i="1"/>
  <c r="F44" i="1"/>
  <c r="C18" i="1"/>
  <c r="K19" i="2"/>
  <c r="J19" i="2"/>
  <c r="L19" i="2" s="1"/>
  <c r="G18" i="2"/>
  <c r="J18" i="2"/>
  <c r="L18" i="2" s="1"/>
  <c r="E32" i="1"/>
  <c r="F32" i="1" s="1"/>
  <c r="G34" i="1"/>
  <c r="G33" i="1"/>
  <c r="L31" i="1"/>
  <c r="F47" i="1"/>
  <c r="E31" i="1"/>
  <c r="F31" i="1" s="1"/>
  <c r="H47" i="1"/>
  <c r="G31" i="1"/>
  <c r="H45" i="1"/>
  <c r="J24" i="1"/>
  <c r="C37" i="1"/>
  <c r="C36" i="1"/>
  <c r="K24" i="1"/>
  <c r="C39" i="1"/>
  <c r="J19" i="1"/>
  <c r="K25" i="1"/>
  <c r="J26" i="1"/>
  <c r="K44" i="1"/>
  <c r="L34" i="1"/>
  <c r="L32" i="1"/>
  <c r="L33" i="1"/>
  <c r="J20" i="1"/>
  <c r="J25" i="1"/>
  <c r="C38" i="1"/>
  <c r="J21" i="1"/>
  <c r="K21" i="1"/>
  <c r="F46" i="1"/>
  <c r="J23" i="1"/>
  <c r="D34" i="1"/>
  <c r="J32" i="1"/>
  <c r="L47" i="1"/>
  <c r="C35" i="1" l="1"/>
  <c r="L22" i="1"/>
  <c r="K45" i="1"/>
  <c r="L48" i="1"/>
  <c r="C33" i="1"/>
  <c r="L50" i="1"/>
  <c r="K49" i="1"/>
  <c r="J22" i="1"/>
  <c r="K22" i="1"/>
  <c r="F45" i="1"/>
  <c r="L51" i="1"/>
  <c r="K52" i="1"/>
  <c r="H18" i="2"/>
  <c r="K18" i="2"/>
  <c r="J18" i="1"/>
  <c r="K18" i="1"/>
  <c r="C3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Brent Posthuma</author>
  </authors>
  <commentList>
    <comment ref="C42" authorId="0" shapeId="0" xr:uid="{00000000-0006-0000-0000-000001000000}">
      <text>
        <r>
          <rPr>
            <sz val="9"/>
            <color indexed="81"/>
            <rFont val="Tahoma"/>
            <family val="2"/>
          </rPr>
          <t>Minimum 14.5" Compartment Depth Required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Brent Posthuma</author>
  </authors>
  <commentList>
    <comment ref="A3" authorId="0" shapeId="0" xr:uid="{00000000-0006-0000-0400-000001000000}">
      <text>
        <r>
          <rPr>
            <b/>
            <sz val="9"/>
            <color indexed="81"/>
            <rFont val="Tahoma"/>
            <family val="2"/>
          </rPr>
          <t>SILL TO HEADER</t>
        </r>
      </text>
    </comment>
    <comment ref="E3" authorId="0" shapeId="0" xr:uid="{00000000-0006-0000-0400-000002000000}">
      <text>
        <r>
          <rPr>
            <b/>
            <sz val="9"/>
            <color indexed="81"/>
            <rFont val="Tahoma"/>
            <family val="2"/>
          </rPr>
          <t>FROM UNDERSIDE OF COMPARTMENT CEILING</t>
        </r>
      </text>
    </comment>
    <comment ref="G3" authorId="0" shapeId="0" xr:uid="{00000000-0006-0000-0400-000003000000}">
      <text>
        <r>
          <rPr>
            <b/>
            <sz val="9"/>
            <color indexed="81"/>
            <rFont val="Tahoma"/>
            <family val="2"/>
          </rPr>
          <t>MEASURED FROM OUTER EDGE OF BODY</t>
        </r>
      </text>
    </comment>
  </commentList>
</comments>
</file>

<file path=xl/sharedStrings.xml><?xml version="1.0" encoding="utf-8"?>
<sst xmlns="http://schemas.openxmlformats.org/spreadsheetml/2006/main" count="759" uniqueCount="498">
  <si>
    <t>Name:</t>
  </si>
  <si>
    <t>Phone #:</t>
  </si>
  <si>
    <t>Email:</t>
  </si>
  <si>
    <t>CONTACT</t>
  </si>
  <si>
    <t>Address Line 1</t>
  </si>
  <si>
    <t>Address Line 2</t>
  </si>
  <si>
    <t>City, State/Prov.</t>
  </si>
  <si>
    <t>ZIP / PC</t>
  </si>
  <si>
    <t>Country</t>
  </si>
  <si>
    <t>Reference
(Eg. L1, R1)</t>
  </si>
  <si>
    <t>Body
Header</t>
  </si>
  <si>
    <t>Roll
Configuration</t>
  </si>
  <si>
    <t>Painted</t>
  </si>
  <si>
    <t>Rear Roll</t>
  </si>
  <si>
    <t>Tambour</t>
  </si>
  <si>
    <t>Standard (D)</t>
  </si>
  <si>
    <t>Metallic</t>
  </si>
  <si>
    <t>Lumicoat</t>
  </si>
  <si>
    <t>Paint
Options</t>
  </si>
  <si>
    <t>Paint
Code</t>
  </si>
  <si>
    <t>Paint
Finish</t>
  </si>
  <si>
    <t>Top
Gutter</t>
  </si>
  <si>
    <t>Sill
Plate</t>
  </si>
  <si>
    <t>Side
Frames</t>
  </si>
  <si>
    <t>SA-2512:  Recessed</t>
  </si>
  <si>
    <t>SA-2513:  Standard (D)</t>
  </si>
  <si>
    <t>SA-2515:  Wide</t>
  </si>
  <si>
    <t>SA-2542:  Narrow</t>
  </si>
  <si>
    <t>SA-2541:  Raised Stop</t>
  </si>
  <si>
    <t>SA-2530:  6" Standard</t>
  </si>
  <si>
    <t>CG-2520:  2" Continuous</t>
  </si>
  <si>
    <t>CG-2530:  6" Continuous</t>
  </si>
  <si>
    <t>Track Miter</t>
  </si>
  <si>
    <t>Strikers</t>
  </si>
  <si>
    <t>Door Ajar Switch</t>
  </si>
  <si>
    <t>Shipped Loose (D)</t>
  </si>
  <si>
    <t>DAS Options</t>
  </si>
  <si>
    <t>With Drainage Tube</t>
  </si>
  <si>
    <t>Without Drainage Tube</t>
  </si>
  <si>
    <t>White</t>
  </si>
  <si>
    <t>Red</t>
  </si>
  <si>
    <t>Blue</t>
  </si>
  <si>
    <t>Red / White</t>
  </si>
  <si>
    <t>Blue / White</t>
  </si>
  <si>
    <t>Both Sides</t>
  </si>
  <si>
    <t>LH Side Only</t>
  </si>
  <si>
    <t>RH Side Only</t>
  </si>
  <si>
    <t>Light
Length</t>
  </si>
  <si>
    <t>Light
Options</t>
  </si>
  <si>
    <t>Best Fit (D)</t>
  </si>
  <si>
    <t>Pull-Down
Strap</t>
  </si>
  <si>
    <t>T001</t>
  </si>
  <si>
    <t>CH545</t>
  </si>
  <si>
    <t>CH751</t>
  </si>
  <si>
    <t>J236</t>
  </si>
  <si>
    <t>1/2"</t>
  </si>
  <si>
    <t>1"</t>
  </si>
  <si>
    <t>1  1/2"</t>
  </si>
  <si>
    <t>SF = Side Frame</t>
  </si>
  <si>
    <t>TG = Top Gutter</t>
  </si>
  <si>
    <t>SA = Satin Anodized</t>
  </si>
  <si>
    <t>Custom Domed Decals</t>
  </si>
  <si>
    <t>Lift-Bar</t>
  </si>
  <si>
    <t>Stainless Steel (D)</t>
  </si>
  <si>
    <t>Carbon Fibre</t>
  </si>
  <si>
    <t>Curtain
End-Shoes</t>
  </si>
  <si>
    <t>FINISH OPTIONS</t>
  </si>
  <si>
    <t>SIDE FRAMES</t>
  </si>
  <si>
    <t>Step Down
Compartment</t>
  </si>
  <si>
    <t>BOTTOM PANEL OPTIONS</t>
  </si>
  <si>
    <t>LIGHTING OPTIONS</t>
  </si>
  <si>
    <t>Opening
Height</t>
  </si>
  <si>
    <t>Opening
Width</t>
  </si>
  <si>
    <t>Compartment
Height</t>
  </si>
  <si>
    <t>Compartment
Depth</t>
  </si>
  <si>
    <t>SA-2540:  Standard</t>
  </si>
  <si>
    <t>AMLOK</t>
  </si>
  <si>
    <t>Options</t>
  </si>
  <si>
    <t>Without Controller (D)</t>
  </si>
  <si>
    <t>CUSTOMIZATION</t>
  </si>
  <si>
    <t>STANDARD OPTIONS</t>
  </si>
  <si>
    <t>1" Double Wall Box Slat w/Interslat Seal</t>
  </si>
  <si>
    <t>Bottom Panel w/Stainless Steel Lift-Bar</t>
  </si>
  <si>
    <t>Side Frame (Track) w/Side Seals</t>
  </si>
  <si>
    <t>Pre-Punched (Slotted) Side Frames</t>
  </si>
  <si>
    <t>Balancer Mounting Plates</t>
  </si>
  <si>
    <t>Pre-Tensioned Balancer</t>
  </si>
  <si>
    <t>2" Top Gutter w/Seal</t>
  </si>
  <si>
    <t>Satin Anodized Finish (AA)</t>
  </si>
  <si>
    <t>Rubber Bumpers</t>
  </si>
  <si>
    <t>DRIP SHIELD</t>
  </si>
  <si>
    <t>Drip
Shield</t>
  </si>
  <si>
    <t>Name
Plates</t>
  </si>
  <si>
    <t>Luma Bar
Integral Lights</t>
  </si>
  <si>
    <t>REFERENCE GUIDE</t>
  </si>
  <si>
    <t>BTM = Bottom Panel</t>
  </si>
  <si>
    <t>Painted, SA BTM</t>
  </si>
  <si>
    <t>Black Anodized, SA BTM</t>
  </si>
  <si>
    <t>MAG = Magnetic</t>
  </si>
  <si>
    <t>MECH = Mechanical</t>
  </si>
  <si>
    <t>Installed - LH/RH, Wires Up</t>
  </si>
  <si>
    <t>Installed - LH/RH, Wires Down</t>
  </si>
  <si>
    <t>Installed - LH, Wires Up</t>
  </si>
  <si>
    <t>Installed - LH, Wires Down</t>
  </si>
  <si>
    <t>Installed - RH, Wires Up</t>
  </si>
  <si>
    <t>Installed - RH, Wires Down</t>
  </si>
  <si>
    <t>Custom Standard Decals</t>
  </si>
  <si>
    <t>Manual
Key Locking</t>
  </si>
  <si>
    <t>Door Curtain
Finish</t>
  </si>
  <si>
    <t>Brushed Anodized, SA BTM</t>
  </si>
  <si>
    <t>Door
Curtain Finish</t>
  </si>
  <si>
    <t>PN</t>
  </si>
  <si>
    <t>SA-</t>
  </si>
  <si>
    <t>BLKAN04</t>
  </si>
  <si>
    <t>BLKAN05</t>
  </si>
  <si>
    <t>BLKAN06</t>
  </si>
  <si>
    <t>BLKAN07</t>
  </si>
  <si>
    <t>BLKAN08</t>
  </si>
  <si>
    <t>BLKAN09</t>
  </si>
  <si>
    <t>BLKAN10</t>
  </si>
  <si>
    <t>BLKAN11</t>
  </si>
  <si>
    <t>BLKAN12</t>
  </si>
  <si>
    <t>BLKAN13</t>
  </si>
  <si>
    <t>BLKAN14</t>
  </si>
  <si>
    <t>BLKAN15</t>
  </si>
  <si>
    <t>BLKAN16</t>
  </si>
  <si>
    <t>BLKAN17</t>
  </si>
  <si>
    <t>BLKAN18</t>
  </si>
  <si>
    <t>BLKAN19</t>
  </si>
  <si>
    <t>BLKAN20</t>
  </si>
  <si>
    <t>BLKAN21</t>
  </si>
  <si>
    <t>BLKAN22</t>
  </si>
  <si>
    <t>BLKAN23</t>
  </si>
  <si>
    <t>BLKAN24</t>
  </si>
  <si>
    <t>BLKAN25</t>
  </si>
  <si>
    <t>BLKAN26</t>
  </si>
  <si>
    <t>BLKAN27</t>
  </si>
  <si>
    <t>BLKAN28</t>
  </si>
  <si>
    <t>BLKAN29</t>
  </si>
  <si>
    <t>BLKAN30</t>
  </si>
  <si>
    <t>BLKAN31</t>
  </si>
  <si>
    <t>BLKAN32</t>
  </si>
  <si>
    <t>BLKAN33</t>
  </si>
  <si>
    <t>BLKAN34</t>
  </si>
  <si>
    <t>BLKAN35</t>
  </si>
  <si>
    <t>BLKAN36</t>
  </si>
  <si>
    <t>BLKAN37</t>
  </si>
  <si>
    <t>BLKAN38</t>
  </si>
  <si>
    <t>BLKAN39</t>
  </si>
  <si>
    <t>BLKAN40</t>
  </si>
  <si>
    <t>Black
Anodized</t>
  </si>
  <si>
    <t>PAINT-SIK-AB-04</t>
  </si>
  <si>
    <t>PAINT-SIK-AB-05</t>
  </si>
  <si>
    <t>PAINT-SIK-AB-06</t>
  </si>
  <si>
    <t>PAINT-SIK-AB-07</t>
  </si>
  <si>
    <t>PAINT-SIK-AB-08</t>
  </si>
  <si>
    <t>PAINT-SIK-AB-09</t>
  </si>
  <si>
    <t>PAINT-SIK-AB-10</t>
  </si>
  <si>
    <t>PAINT-SIK-AB-11</t>
  </si>
  <si>
    <t>PAINT-SIK-AB-12</t>
  </si>
  <si>
    <t>PAINT-SIK-AB-13</t>
  </si>
  <si>
    <t>PAINT-SIK-AB-14</t>
  </si>
  <si>
    <t>PAINT-SIK-AB-15</t>
  </si>
  <si>
    <t>PAINT-SIK-AB-16</t>
  </si>
  <si>
    <t>PAINT-SIK-AB-17</t>
  </si>
  <si>
    <t>PAINT-SIK-AB-18</t>
  </si>
  <si>
    <t>PAINT-SIK-AB-19</t>
  </si>
  <si>
    <t>PAINT-SIK-AB-20</t>
  </si>
  <si>
    <t>PAINT-SIK-AB-21</t>
  </si>
  <si>
    <t>PAINT-SIK-AB-22</t>
  </si>
  <si>
    <t>PAINT-SIK-AB-23</t>
  </si>
  <si>
    <t>PAINT-SIK-AB-24</t>
  </si>
  <si>
    <t>PAINT-SIK-AB-25</t>
  </si>
  <si>
    <t>PAINT-SIK-AB-26</t>
  </si>
  <si>
    <t>PAINT-SIK-AB-27</t>
  </si>
  <si>
    <t>PAINT-SIK-AB-28</t>
  </si>
  <si>
    <t>PAINT-SIK-AB-29</t>
  </si>
  <si>
    <t>PAINT-SIK-AB-30</t>
  </si>
  <si>
    <t>PAINT-SIK-AB-31</t>
  </si>
  <si>
    <t>PAINT-SIK-AB-32</t>
  </si>
  <si>
    <t>PAINT-SIK-AB-33</t>
  </si>
  <si>
    <t>PAINT-SIK-AB-34</t>
  </si>
  <si>
    <t>PAINT-SIK-AB-35</t>
  </si>
  <si>
    <t>PAINT-SIK-AB-36</t>
  </si>
  <si>
    <t>PAINT-SIK-AB-37</t>
  </si>
  <si>
    <t>PAINT-SIK-AB-38</t>
  </si>
  <si>
    <t>PAINT-SIK-AB-39</t>
  </si>
  <si>
    <t>PAINT-SIK-AB-40</t>
  </si>
  <si>
    <t>Painted Curtain
SA Bottom</t>
  </si>
  <si>
    <t>DAS</t>
  </si>
  <si>
    <t>Key
Locking</t>
  </si>
  <si>
    <t>BA-</t>
  </si>
  <si>
    <t>XX-1550</t>
  </si>
  <si>
    <t>248-500</t>
  </si>
  <si>
    <t>PAINT-SIK</t>
  </si>
  <si>
    <t>SA-2540-500</t>
  </si>
  <si>
    <t>SA-2541-500</t>
  </si>
  <si>
    <t>SA-2542-500</t>
  </si>
  <si>
    <t>SA-2530-500</t>
  </si>
  <si>
    <t>CG-2520</t>
  </si>
  <si>
    <t>CG-2530</t>
  </si>
  <si>
    <t>CG-2520-PAINT</t>
  </si>
  <si>
    <t>CG-2530-PAINT</t>
  </si>
  <si>
    <t>DT-1000</t>
  </si>
  <si>
    <t>DT-1010</t>
  </si>
  <si>
    <t>XX-1520</t>
  </si>
  <si>
    <t>XX-1525</t>
  </si>
  <si>
    <t>XX-1565</t>
  </si>
  <si>
    <t>XX-1500</t>
  </si>
  <si>
    <t>XX-1510</t>
  </si>
  <si>
    <t>XX-1585</t>
  </si>
  <si>
    <t>TL-9050-</t>
  </si>
  <si>
    <t>TL-9060-</t>
  </si>
  <si>
    <t>TL-9070-</t>
  </si>
  <si>
    <t>TL-9080-</t>
  </si>
  <si>
    <t>TL-9085-</t>
  </si>
  <si>
    <t>BLKAN</t>
  </si>
  <si>
    <t>PAINT-SIK-AB-</t>
  </si>
  <si>
    <t>KL-9846-500</t>
  </si>
  <si>
    <t>KL-9847-500</t>
  </si>
  <si>
    <t>KL-9849-500</t>
  </si>
  <si>
    <t>KL-9850-500</t>
  </si>
  <si>
    <t>KL-9851-500</t>
  </si>
  <si>
    <t>PS-9350-12-500</t>
  </si>
  <si>
    <t>PS-9350-18-500</t>
  </si>
  <si>
    <t>PS-9355-500</t>
  </si>
  <si>
    <t>DS-1925-500</t>
  </si>
  <si>
    <t>DS-1934-500</t>
  </si>
  <si>
    <t>DS-1935-500</t>
  </si>
  <si>
    <t>DS-5100-500</t>
  </si>
  <si>
    <t>DS-5200-500</t>
  </si>
  <si>
    <t>Luma Bar
12v Integral Lights</t>
  </si>
  <si>
    <t>3/4" SF - 12" LEAD</t>
  </si>
  <si>
    <t>3/4" SF - 78" LEAD</t>
  </si>
  <si>
    <t>MS-6001M-500</t>
  </si>
  <si>
    <t>CF-5405-500</t>
  </si>
  <si>
    <t>PC-5405-500</t>
  </si>
  <si>
    <t>Black Powder Coated</t>
  </si>
  <si>
    <t>KL Drill Option</t>
  </si>
  <si>
    <t>XX-1546</t>
  </si>
  <si>
    <t>FINISH</t>
  </si>
  <si>
    <t>PAINT</t>
  </si>
  <si>
    <t>POPTION</t>
  </si>
  <si>
    <t>SHOES</t>
  </si>
  <si>
    <t>SP</t>
  </si>
  <si>
    <t>TG</t>
  </si>
  <si>
    <t>SF</t>
  </si>
  <si>
    <t>TM</t>
  </si>
  <si>
    <t>SD</t>
  </si>
  <si>
    <t>STRIKERS</t>
  </si>
  <si>
    <t>DOPTION</t>
  </si>
  <si>
    <t>AOPTION</t>
  </si>
  <si>
    <t>KL</t>
  </si>
  <si>
    <t>LIFT</t>
  </si>
  <si>
    <t>PS</t>
  </si>
  <si>
    <t>NP</t>
  </si>
  <si>
    <t>DS</t>
  </si>
  <si>
    <t>LB</t>
  </si>
  <si>
    <t>LOPTION</t>
  </si>
  <si>
    <t>LENGTH</t>
  </si>
  <si>
    <t>Pre-Drill 2" Top Gutter</t>
  </si>
  <si>
    <t>Pre-Drill 6" Top Gutter</t>
  </si>
  <si>
    <t>NP-94XX-500</t>
  </si>
  <si>
    <t>Comp.
#</t>
  </si>
  <si>
    <t>End-User / Reference:</t>
  </si>
  <si>
    <t>Ship Via:</t>
  </si>
  <si>
    <t>In-House Date:</t>
  </si>
  <si>
    <t>SOLD TO ADDRESS</t>
  </si>
  <si>
    <t>SHIP TO ADDRESS</t>
  </si>
  <si>
    <t>QTY OF DOORS</t>
  </si>
  <si>
    <t>CONTACT DETAILS</t>
  </si>
  <si>
    <t>Roll
Config</t>
  </si>
  <si>
    <t>OPENING 
HEIGHT</t>
  </si>
  <si>
    <t>DOOR COIL
DIAMETER</t>
  </si>
  <si>
    <t>BOTTOM OF 
DOOR COIL</t>
  </si>
  <si>
    <t>BACK OF
DOOR COIL</t>
  </si>
  <si>
    <t>MIN. COMP.
DEPTH</t>
  </si>
  <si>
    <t>MIN. BODY HEADER</t>
  </si>
  <si>
    <t>to</t>
  </si>
  <si>
    <t>DOOR COIL CHART</t>
  </si>
  <si>
    <t>FRONT ROLL CONFIGURATION</t>
  </si>
  <si>
    <t>REAR ROLL CONFIGURATION</t>
  </si>
  <si>
    <t>ALL</t>
  </si>
  <si>
    <t>ALL DIMENSIONS ABOVE ARE IN INCHES</t>
  </si>
  <si>
    <t>Distance is valid only when the mounting plate is mounted flush to the underside of the compartment ceiling.</t>
  </si>
  <si>
    <t>Based on 1/4" thick wall of body header</t>
  </si>
  <si>
    <t>AMLOK-R</t>
  </si>
  <si>
    <t>INTEGRAL SIZE</t>
  </si>
  <si>
    <t>RR-1763-500</t>
  </si>
  <si>
    <t>SA-2515-500</t>
  </si>
  <si>
    <t>IT* = Idler Tube Required</t>
  </si>
  <si>
    <t>Track
Miter</t>
  </si>
  <si>
    <t>DAS
Options</t>
  </si>
  <si>
    <t>(DD/MM/YY)</t>
  </si>
  <si>
    <t>SA-2540:  Standard w/Tape</t>
  </si>
  <si>
    <t>SA-2541:  Raised Stop w/Tape</t>
  </si>
  <si>
    <t>Painted 2" Continuous TG</t>
  </si>
  <si>
    <t>Painted 6" Continuous TG</t>
  </si>
  <si>
    <t>Painted, SA BTM - No Overspray</t>
  </si>
  <si>
    <t>Painted - No Overspray</t>
  </si>
  <si>
    <t>SA-2542:  Narrow w/Tape</t>
  </si>
  <si>
    <t>Bottom Panel, LH Side</t>
  </si>
  <si>
    <t>Bottom Panel, RH Side</t>
  </si>
  <si>
    <t>Bottom Panel, Both Sides</t>
  </si>
  <si>
    <t>Magnetic Switch Options</t>
  </si>
  <si>
    <t>Strikers Shipped Loose (D)</t>
  </si>
  <si>
    <t>Strikers Pre-Installed</t>
  </si>
  <si>
    <t>12" Lead -  LH/RH - Installed</t>
  </si>
  <si>
    <t>78" Lead -  LH/RH - Installed</t>
  </si>
  <si>
    <t>12" Lead -  LH/RH - Loose</t>
  </si>
  <si>
    <t>78" Lead -  LH/RH - Loose</t>
  </si>
  <si>
    <t>12" Lead -  LH - Installed</t>
  </si>
  <si>
    <t>78" Lead -  LH - Installed</t>
  </si>
  <si>
    <t>12" Lead -  RH - Installed</t>
  </si>
  <si>
    <t>78" Lead -  RH - Installed</t>
  </si>
  <si>
    <t>12" Lead -  LH - Loose</t>
  </si>
  <si>
    <t>78" Lead -  LH - Loose</t>
  </si>
  <si>
    <t>12" Lead -  RH - Loose</t>
  </si>
  <si>
    <t>78" Lead -  RH - Loose</t>
  </si>
  <si>
    <t>Positive Ground</t>
  </si>
  <si>
    <t>Negative Ground</t>
  </si>
  <si>
    <t>Ship Loose - Both Sides (D)</t>
  </si>
  <si>
    <t>Strikers /
MECH Switches</t>
  </si>
  <si>
    <t>PAINT-LUMI-SIK</t>
  </si>
  <si>
    <t>OH</t>
  </si>
  <si>
    <t>HEADER</t>
  </si>
  <si>
    <t>Min Header Export</t>
  </si>
  <si>
    <t>No Overspray</t>
  </si>
  <si>
    <t>247-500</t>
  </si>
  <si>
    <t>HEADER DETAILS</t>
  </si>
  <si>
    <t>Header OK?</t>
  </si>
  <si>
    <t>OH MIN</t>
  </si>
  <si>
    <t>OH MAX</t>
  </si>
  <si>
    <t>REVIEW</t>
  </si>
  <si>
    <t>Idler Tube</t>
  </si>
  <si>
    <t>IT-1800-000-500</t>
  </si>
  <si>
    <t>Flex HD - RH Side (Installed)</t>
  </si>
  <si>
    <t>Flex HD - LH Side (Installed)</t>
  </si>
  <si>
    <t>PO NUMBER</t>
  </si>
  <si>
    <t>CTG Length
(Inches)</t>
  </si>
  <si>
    <t>Metallic Curtain
SA Bottom</t>
  </si>
  <si>
    <t>Lumicoat Curtain
SA Bottom</t>
  </si>
  <si>
    <t>PAINT-SIK-MET-AB-</t>
  </si>
  <si>
    <t>PAINT-SIK-LUMI-AB-</t>
  </si>
  <si>
    <t>PAINT-SIK-MET-AB-04</t>
  </si>
  <si>
    <t>PAINT-SIK-MET-AB-05</t>
  </si>
  <si>
    <t>PAINT-SIK-MET-AB-06</t>
  </si>
  <si>
    <t>PAINT-SIK-MET-AB-07</t>
  </si>
  <si>
    <t>PAINT-SIK-MET-AB-08</t>
  </si>
  <si>
    <t>PAINT-SIK-MET-AB-09</t>
  </si>
  <si>
    <t>PAINT-SIK-MET-AB-10</t>
  </si>
  <si>
    <t>PAINT-SIK-MET-AB-11</t>
  </si>
  <si>
    <t>PAINT-SIK-MET-AB-12</t>
  </si>
  <si>
    <t>PAINT-SIK-MET-AB-13</t>
  </si>
  <si>
    <t>PAINT-SIK-MET-AB-14</t>
  </si>
  <si>
    <t>PAINT-SIK-MET-AB-15</t>
  </si>
  <si>
    <t>PAINT-SIK-MET-AB-16</t>
  </si>
  <si>
    <t>PAINT-SIK-MET-AB-17</t>
  </si>
  <si>
    <t>PAINT-SIK-MET-AB-18</t>
  </si>
  <si>
    <t>PAINT-SIK-MET-AB-19</t>
  </si>
  <si>
    <t>PAINT-SIK-MET-AB-20</t>
  </si>
  <si>
    <t>PAINT-SIK-MET-AB-21</t>
  </si>
  <si>
    <t>PAINT-SIK-MET-AB-22</t>
  </si>
  <si>
    <t>PAINT-SIK-MET-AB-23</t>
  </si>
  <si>
    <t>PAINT-SIK-MET-AB-24</t>
  </si>
  <si>
    <t>PAINT-SIK-MET-AB-25</t>
  </si>
  <si>
    <t>PAINT-SIK-MET-AB-26</t>
  </si>
  <si>
    <t>PAINT-SIK-MET-AB-27</t>
  </si>
  <si>
    <t>PAINT-SIK-MET-AB-28</t>
  </si>
  <si>
    <t>PAINT-SIK-MET-AB-29</t>
  </si>
  <si>
    <t>PAINT-SIK-MET-AB-30</t>
  </si>
  <si>
    <t>PAINT-SIK-MET-AB-31</t>
  </si>
  <si>
    <t>PAINT-SIK-MET-AB-32</t>
  </si>
  <si>
    <t>PAINT-SIK-MET-AB-33</t>
  </si>
  <si>
    <t>PAINT-SIK-MET-AB-34</t>
  </si>
  <si>
    <t>PAINT-SIK-MET-AB-35</t>
  </si>
  <si>
    <t>PAINT-SIK-MET-AB-36</t>
  </si>
  <si>
    <t>PAINT-SIK-MET-AB-37</t>
  </si>
  <si>
    <t>PAINT-SIK-MET-AB-38</t>
  </si>
  <si>
    <t>PAINT-SIK-MET-AB-39</t>
  </si>
  <si>
    <t>PAINT-SIK-MET-AB-40</t>
  </si>
  <si>
    <t>PAINT-SIK-LUMI-AB-04</t>
  </si>
  <si>
    <t>PAINT-SIK-LUMI-AB-05</t>
  </si>
  <si>
    <t>PAINT-SIK-LUMI-AB-06</t>
  </si>
  <si>
    <t>PAINT-SIK-LUMI-AB-07</t>
  </si>
  <si>
    <t>PAINT-SIK-LUMI-AB-08</t>
  </si>
  <si>
    <t>PAINT-SIK-LUMI-AB-09</t>
  </si>
  <si>
    <t>PAINT-SIK-LUMI-AB-10</t>
  </si>
  <si>
    <t>PAINT-SIK-LUMI-AB-11</t>
  </si>
  <si>
    <t>PAINT-SIK-LUMI-AB-12</t>
  </si>
  <si>
    <t>PAINT-SIK-LUMI-AB-13</t>
  </si>
  <si>
    <t>PAINT-SIK-LUMI-AB-14</t>
  </si>
  <si>
    <t>PAINT-SIK-LUMI-AB-15</t>
  </si>
  <si>
    <t>PAINT-SIK-LUMI-AB-16</t>
  </si>
  <si>
    <t>PAINT-SIK-LUMI-AB-17</t>
  </si>
  <si>
    <t>PAINT-SIK-LUMI-AB-18</t>
  </si>
  <si>
    <t>PAINT-SIK-LUMI-AB-19</t>
  </si>
  <si>
    <t>PAINT-SIK-LUMI-AB-20</t>
  </si>
  <si>
    <t>PAINT-SIK-LUMI-AB-21</t>
  </si>
  <si>
    <t>PAINT-SIK-LUMI-AB-22</t>
  </si>
  <si>
    <t>PAINT-SIK-LUMI-AB-23</t>
  </si>
  <si>
    <t>PAINT-SIK-LUMI-AB-24</t>
  </si>
  <si>
    <t>PAINT-SIK-LUMI-AB-25</t>
  </si>
  <si>
    <t>PAINT-SIK-LUMI-AB-26</t>
  </si>
  <si>
    <t>PAINT-SIK-LUMI-AB-27</t>
  </si>
  <si>
    <t>PAINT-SIK-LUMI-AB-28</t>
  </si>
  <si>
    <t>PAINT-SIK-LUMI-AB-29</t>
  </si>
  <si>
    <t>PAINT-SIK-LUMI-AB-30</t>
  </si>
  <si>
    <t>PAINT-SIK-LUMI-AB-31</t>
  </si>
  <si>
    <t>PAINT-SIK-LUMI-AB-32</t>
  </si>
  <si>
    <t>PAINT-SIK-LUMI-AB-33</t>
  </si>
  <si>
    <t>PAINT-SIK-LUMI-AB-34</t>
  </si>
  <si>
    <t>PAINT-SIK-LUMI-AB-35</t>
  </si>
  <si>
    <t>PAINT-SIK-LUMI-AB-36</t>
  </si>
  <si>
    <t>PAINT-SIK-LUMI-AB-37</t>
  </si>
  <si>
    <t>PAINT-SIK-LUMI-AB-38</t>
  </si>
  <si>
    <t>PAINT-SIK-LUMI-AB-39</t>
  </si>
  <si>
    <t>PAINT-SIK-LUMI-AB-40</t>
  </si>
  <si>
    <t>w/Controller - QTY 1</t>
  </si>
  <si>
    <t>NOTES AND COMMENTS</t>
  </si>
  <si>
    <t>w/Remotes - QTY 1</t>
  </si>
  <si>
    <t>w/(1) Controller &amp; (1) Remote</t>
  </si>
  <si>
    <t>*BY ENTERING A PO NUMBER, THE FORM WILL DEFAULT TO AN ORDER*</t>
  </si>
  <si>
    <t>Anodized (D)</t>
  </si>
  <si>
    <t>Front Roll (D)</t>
  </si>
  <si>
    <t>NONE (D)</t>
  </si>
  <si>
    <t>SA-2520:  2" Standard (D)</t>
  </si>
  <si>
    <r>
      <t xml:space="preserve">LIGHTING OPTIONS
</t>
    </r>
    <r>
      <rPr>
        <b/>
        <sz val="10"/>
        <color indexed="8"/>
        <rFont val="Calibri"/>
        <family val="2"/>
      </rPr>
      <t>24v Available Upon Request - Please Note In 'Comments' Section</t>
    </r>
  </si>
  <si>
    <r>
      <t xml:space="preserve">POWER LOCKING
</t>
    </r>
    <r>
      <rPr>
        <b/>
        <sz val="10"/>
        <rFont val="Calibri"/>
        <family val="2"/>
      </rPr>
      <t>Optional Items Control Up To 12 Doors</t>
    </r>
  </si>
  <si>
    <t>12" Nylon - RH Side (Installed)</t>
  </si>
  <si>
    <t>18" Nylon - RH Side (Installed)</t>
  </si>
  <si>
    <t>Flex HD - Ship Loose - RH Side</t>
  </si>
  <si>
    <t>Flex HD - Ship Loose - LH Side</t>
  </si>
  <si>
    <t>12" Nylon - Ship Loose - RH Side</t>
  </si>
  <si>
    <t>18" Nylon - Ship Loose - RH Side</t>
  </si>
  <si>
    <t>Header Code</t>
  </si>
  <si>
    <t>DOOR #1</t>
  </si>
  <si>
    <t>COMP DEPTH</t>
  </si>
  <si>
    <t>MIN DEPTH</t>
  </si>
  <si>
    <t>*NO TOP GUTTER*</t>
  </si>
  <si>
    <t>DS-1924-500</t>
  </si>
  <si>
    <t>Key Locking Req'd For AMLOK</t>
  </si>
  <si>
    <t>IF REQUIRED</t>
  </si>
  <si>
    <t>Width OK?</t>
  </si>
  <si>
    <t>PAINT-MET-SIK</t>
  </si>
  <si>
    <t>EL0015-500</t>
  </si>
  <si>
    <t>AY-EL-AMLOK2-500</t>
  </si>
  <si>
    <t>AY-EL-AMLOK1-500</t>
  </si>
  <si>
    <t>ES-0XX-500</t>
  </si>
  <si>
    <t>ESS - Extended Slat Shoe (Black)</t>
  </si>
  <si>
    <t xml:space="preserve"> Reference
(Eg. L1, R1)</t>
  </si>
  <si>
    <t>ENTER THE TOTAL QUANTITY OF DOORS IN THE HIGHLIGHTED FIELD ABOVE TO BEGIN</t>
  </si>
  <si>
    <r>
      <t xml:space="preserve">REQUIRED DIMENSIONS
</t>
    </r>
    <r>
      <rPr>
        <b/>
        <i/>
        <sz val="9"/>
        <rFont val="Calibri"/>
        <family val="2"/>
      </rPr>
      <t>**ALL DIMENSIONS MUST BE IN INCHES AND TO THE 1/16" OTHERWISE WILL BE ROUNDED DOWN TO THE NEAREST 1/16"**</t>
    </r>
  </si>
  <si>
    <t>Standard (D), Consider ESS For Painted Doors</t>
  </si>
  <si>
    <t>COMPANY NAME</t>
  </si>
  <si>
    <t>Once complete, please save this
Excel file as a new name and submit via e-mail to 'info@amdor.com'</t>
  </si>
  <si>
    <r>
      <t xml:space="preserve">To get started, </t>
    </r>
    <r>
      <rPr>
        <b/>
        <sz val="11"/>
        <color indexed="8"/>
        <rFont val="Calibri"/>
        <family val="2"/>
      </rPr>
      <t>enter the number of doors required for this order and the form will begin populating.  Once complete, please save this file under a new title and e-mail to '</t>
    </r>
    <r>
      <rPr>
        <b/>
        <i/>
        <sz val="11"/>
        <color indexed="10"/>
        <rFont val="Calibri"/>
        <family val="2"/>
      </rPr>
      <t>info@amdor.com</t>
    </r>
    <r>
      <rPr>
        <b/>
        <sz val="11"/>
        <color indexed="8"/>
        <rFont val="Calibri"/>
        <family val="2"/>
      </rPr>
      <t>'.
 The form will not let you overwrite the blank form, you can use 'Save As' to rename and keep this configuration for future similar orders.  Please only overwrite this blank form with your account information.</t>
    </r>
    <r>
      <rPr>
        <b/>
        <sz val="8"/>
        <color indexed="8"/>
        <rFont val="Calibri"/>
        <family val="2"/>
      </rPr>
      <t xml:space="preserve">
</t>
    </r>
    <r>
      <rPr>
        <b/>
        <sz val="12"/>
        <color indexed="30"/>
        <rFont val="Calibri"/>
        <family val="2"/>
      </rPr>
      <t>**ANY CELLS THAT ARE YELLOW ARE MANDATORY FIELDS**</t>
    </r>
    <r>
      <rPr>
        <b/>
        <sz val="8"/>
        <color indexed="8"/>
        <rFont val="Calibri"/>
        <family val="2"/>
      </rPr>
      <t xml:space="preserve">
</t>
    </r>
    <r>
      <rPr>
        <b/>
        <sz val="11"/>
        <color indexed="8"/>
        <rFont val="Calibri"/>
        <family val="2"/>
      </rPr>
      <t>IF YOU HAVE ANY QUESTIONS, PLEASE CONTACT OUR CUSTOMER CARE DEPARTMENT A</t>
    </r>
    <r>
      <rPr>
        <b/>
        <sz val="11"/>
        <rFont val="Calibri"/>
        <family val="2"/>
      </rPr>
      <t>T  1-877-462-6367 / info@amdor.com</t>
    </r>
  </si>
  <si>
    <t>TRACK MITRE</t>
  </si>
  <si>
    <t>MAGNETIC DOOR AJAR SWITCHES</t>
  </si>
  <si>
    <t>SILL PLATES</t>
  </si>
  <si>
    <t>TRACK RELIEF</t>
  </si>
  <si>
    <t>MECHANICAL DOOR AJAR SWITCH</t>
  </si>
  <si>
    <t>TOP GUTTER</t>
  </si>
  <si>
    <t>DOOR FINISHES</t>
  </si>
  <si>
    <t>I</t>
  </si>
  <si>
    <t>PULL DOWN STRAPS</t>
  </si>
  <si>
    <t>AMLOK Power Door Locking</t>
  </si>
  <si>
    <t>Brushed, Anodized, Painted</t>
  </si>
  <si>
    <t>(AVAILABLE WITH OPTIONAL REMOTE)</t>
  </si>
  <si>
    <t>Flex HD</t>
  </si>
  <si>
    <t>Standard Nylon</t>
  </si>
  <si>
    <t>PLEASE NOTE:  This form will auto-populate based on the default options and but can be changed using the drop-down menu within each cell.</t>
  </si>
  <si>
    <t>CTG = Continuous Top Gutter</t>
  </si>
  <si>
    <t>DAS = Door Ajar Switch</t>
  </si>
  <si>
    <t>Installed, Upper LH - Wires Up</t>
  </si>
  <si>
    <t>Installed, Upper LH - Wires Down</t>
  </si>
  <si>
    <t>Installed, Upper RH - Wires Up</t>
  </si>
  <si>
    <t>Installed, Upper RH - Wires Down</t>
  </si>
  <si>
    <t>Installed, Lower LH - Wires Up</t>
  </si>
  <si>
    <t>Installed, Lower LH - Wires Down</t>
  </si>
  <si>
    <t>Installed, Lower RH - Wires Up</t>
  </si>
  <si>
    <t>Installed, Lower RH - Wires Down</t>
  </si>
  <si>
    <t>IT REQUIRED?</t>
  </si>
  <si>
    <t>PAINT CODE REQUIRED</t>
  </si>
  <si>
    <t>Ship Loose - RH Only - Wires Up</t>
  </si>
  <si>
    <t>Ship Loose - RH Only - Wires Down</t>
  </si>
  <si>
    <t>Ship Loose - LH Only - Wires Up</t>
  </si>
  <si>
    <t>Ship Loose - LH Only - Wires Down</t>
  </si>
  <si>
    <t>N/A, Min. 10.5'' Comp. Depth Req'd</t>
  </si>
  <si>
    <t>N/A, Min. 11.75'' Comp. Depth Req'd</t>
  </si>
  <si>
    <t>N/A, Min. 12.375'' Comp. Depth Req'd</t>
  </si>
  <si>
    <t>N/A, Min. 18'' Opening Width Req'd</t>
  </si>
  <si>
    <t>None (D)</t>
  </si>
  <si>
    <t>Sideframe Only</t>
  </si>
  <si>
    <t>Top Gutter Only</t>
  </si>
  <si>
    <t>Both - Sideframe &amp; Top Gutter</t>
  </si>
  <si>
    <t>Trim Paint
Options</t>
  </si>
  <si>
    <t>VER. 2025.11.25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</si>
</sst>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09]d/mmm/yyyy;@"/>
  </numFmts>
  <fonts count="43" x14ac:knownFonts="1">
    <font>
      <sz val="11"/>
      <color theme="1"/>
      <name val="Calibri"/>
      <family val="2"/>
      <scheme val="minor"/>
    </font>
    <font>
      <b/>
      <sz val="11"/>
      <color indexed="8"/>
      <name val="Calibri"/>
      <family val="2"/>
    </font>
    <font>
      <b/>
      <sz val="10"/>
      <color indexed="8"/>
      <name val="Calibri"/>
      <family val="2"/>
    </font>
    <font>
      <b/>
      <sz val="10"/>
      <name val="Calibri"/>
      <family val="2"/>
    </font>
    <font>
      <b/>
      <sz val="9"/>
      <color indexed="81"/>
      <name val="Tahoma"/>
      <family val="2"/>
    </font>
    <font>
      <sz val="9"/>
      <color indexed="81"/>
      <name val="Tahoma"/>
      <family val="2"/>
    </font>
    <font>
      <b/>
      <sz val="11"/>
      <name val="Calibri"/>
      <family val="2"/>
    </font>
    <font>
      <b/>
      <sz val="8"/>
      <color indexed="8"/>
      <name val="Calibri"/>
      <family val="2"/>
    </font>
    <font>
      <b/>
      <sz val="12"/>
      <color indexed="30"/>
      <name val="Calibri"/>
      <family val="2"/>
    </font>
    <font>
      <b/>
      <i/>
      <sz val="9"/>
      <name val="Calibri"/>
      <family val="2"/>
    </font>
    <font>
      <b/>
      <i/>
      <sz val="11"/>
      <color indexed="10"/>
      <name val="Calibri"/>
      <family val="2"/>
    </font>
    <font>
      <sz val="11"/>
      <color theme="0"/>
      <name val="Calibri"/>
      <family val="2"/>
      <scheme val="minor"/>
    </font>
    <font>
      <b/>
      <sz val="11"/>
      <color theme="0"/>
      <name val="Calibri"/>
      <family val="2"/>
      <scheme val="minor"/>
    </font>
    <font>
      <b/>
      <sz val="11"/>
      <color theme="1"/>
      <name val="Calibri"/>
      <family val="2"/>
      <scheme val="minor"/>
    </font>
    <font>
      <b/>
      <sz val="16"/>
      <color theme="1"/>
      <name val="Calibri"/>
      <family val="2"/>
      <scheme val="minor"/>
    </font>
    <font>
      <b/>
      <sz val="10"/>
      <name val="Calibri"/>
      <family val="2"/>
      <scheme val="minor"/>
    </font>
    <font>
      <sz val="12"/>
      <color theme="1"/>
      <name val="Calibri"/>
      <family val="2"/>
      <scheme val="minor"/>
    </font>
    <font>
      <b/>
      <sz val="12"/>
      <color theme="1"/>
      <name val="Calibri"/>
      <family val="2"/>
      <scheme val="minor"/>
    </font>
    <font>
      <b/>
      <u/>
      <sz val="14"/>
      <color theme="1"/>
      <name val="Calibri"/>
      <family val="2"/>
      <scheme val="minor"/>
    </font>
    <font>
      <b/>
      <sz val="10"/>
      <color rgb="FFFF0000"/>
      <name val="Calibri"/>
      <family val="2"/>
      <scheme val="minor"/>
    </font>
    <font>
      <b/>
      <sz val="12"/>
      <color rgb="FF00B050"/>
      <name val="Calibri"/>
      <family val="2"/>
      <scheme val="minor"/>
    </font>
    <font>
      <b/>
      <sz val="14"/>
      <color theme="1"/>
      <name val="Calibri"/>
      <family val="2"/>
      <scheme val="minor"/>
    </font>
    <font>
      <b/>
      <sz val="14"/>
      <color theme="0"/>
      <name val="Calibri"/>
      <family val="2"/>
      <scheme val="minor"/>
    </font>
    <font>
      <b/>
      <sz val="12"/>
      <name val="Calibri"/>
      <family val="2"/>
      <scheme val="minor"/>
    </font>
    <font>
      <sz val="7.5"/>
      <color rgb="FFFF0000"/>
      <name val="Calibri"/>
      <family val="2"/>
      <scheme val="minor"/>
    </font>
    <font>
      <sz val="12"/>
      <name val="Calibri"/>
      <family val="2"/>
      <scheme val="minor"/>
    </font>
    <font>
      <b/>
      <sz val="12"/>
      <color rgb="FFFF0000"/>
      <name val="Calibri"/>
      <family val="2"/>
      <scheme val="minor"/>
    </font>
    <font>
      <i/>
      <sz val="9"/>
      <color theme="1"/>
      <name val="Calibri"/>
      <family val="2"/>
      <scheme val="minor"/>
    </font>
    <font>
      <b/>
      <sz val="20"/>
      <color rgb="FFFF0000"/>
      <name val="Calibri"/>
      <family val="2"/>
      <scheme val="minor"/>
    </font>
    <font>
      <b/>
      <sz val="16"/>
      <color rgb="FFFF0000"/>
      <name val="Calibri"/>
      <family val="2"/>
      <scheme val="minor"/>
    </font>
    <font>
      <b/>
      <sz val="14"/>
      <name val="Calibri"/>
      <family val="2"/>
      <scheme val="minor"/>
    </font>
    <font>
      <b/>
      <sz val="8"/>
      <color theme="1"/>
      <name val="Calibri"/>
      <family val="2"/>
      <scheme val="minor"/>
    </font>
    <font>
      <sz val="10"/>
      <name val="Calibri"/>
      <family val="2"/>
      <scheme val="minor"/>
    </font>
    <font>
      <b/>
      <sz val="16"/>
      <name val="Calibri"/>
      <family val="2"/>
      <scheme val="minor"/>
    </font>
    <font>
      <b/>
      <sz val="9"/>
      <name val="Calibri"/>
      <family val="2"/>
      <scheme val="minor"/>
    </font>
    <font>
      <b/>
      <sz val="11"/>
      <name val="Calibri"/>
      <family val="2"/>
      <scheme val="minor"/>
    </font>
    <font>
      <sz val="11"/>
      <name val="Calibri"/>
      <family val="2"/>
      <scheme val="minor"/>
    </font>
    <font>
      <sz val="16"/>
      <name val="Calibri"/>
      <family val="2"/>
      <scheme val="minor"/>
    </font>
    <font>
      <sz val="9"/>
      <name val="Calibri"/>
      <family val="2"/>
      <scheme val="minor"/>
    </font>
    <font>
      <sz val="7"/>
      <name val="Calibri"/>
      <family val="2"/>
      <scheme val="minor"/>
    </font>
    <font>
      <sz val="8"/>
      <name val="Calibri"/>
      <family val="2"/>
      <scheme val="minor"/>
    </font>
    <font>
      <b/>
      <sz val="18"/>
      <name val="Calibri"/>
      <family val="2"/>
      <scheme val="minor"/>
    </font>
    <font>
      <b/>
      <u/>
      <sz val="12"/>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4" tint="0.39994506668294322"/>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theme="1"/>
        <bgColor indexed="64"/>
      </patternFill>
    </fill>
  </fills>
  <borders count="38">
    <border>
      <left/>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thick">
        <color indexed="64"/>
      </left>
      <right style="thick">
        <color indexed="64"/>
      </right>
      <top style="thick">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style="medium">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thick">
        <color indexed="64"/>
      </left>
      <right style="thick">
        <color indexed="64"/>
      </right>
      <top style="medium">
        <color indexed="64"/>
      </top>
      <bottom style="thick">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hair">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ck">
        <color indexed="64"/>
      </right>
      <top/>
      <bottom/>
      <diagonal/>
    </border>
    <border>
      <left style="thick">
        <color indexed="64"/>
      </left>
      <right style="thick">
        <color indexed="64"/>
      </right>
      <top style="medium">
        <color indexed="64"/>
      </top>
      <bottom/>
      <diagonal/>
    </border>
    <border>
      <left style="thick">
        <color indexed="64"/>
      </left>
      <right style="thick">
        <color indexed="64"/>
      </right>
      <top/>
      <bottom style="thick">
        <color indexed="64"/>
      </bottom>
      <diagonal/>
    </border>
    <border>
      <left style="dotted">
        <color theme="0" tint="-0.24994659260841701"/>
      </left>
      <right style="medium">
        <color indexed="64"/>
      </right>
      <top style="hair">
        <color indexed="64"/>
      </top>
      <bottom style="hair">
        <color indexed="64"/>
      </bottom>
      <diagonal/>
    </border>
    <border>
      <left style="medium">
        <color indexed="64"/>
      </left>
      <right style="dotted">
        <color theme="0" tint="-0.24994659260841701"/>
      </right>
      <top style="hair">
        <color indexed="64"/>
      </top>
      <bottom style="hair">
        <color indexed="64"/>
      </bottom>
      <diagonal/>
    </border>
    <border>
      <left style="dotted">
        <color theme="0" tint="-0.24994659260841701"/>
      </left>
      <right style="dotted">
        <color theme="0" tint="-0.24994659260841701"/>
      </right>
      <top style="hair">
        <color indexed="64"/>
      </top>
      <bottom style="hair">
        <color indexed="64"/>
      </bottom>
      <diagonal/>
    </border>
    <border>
      <left style="dotted">
        <color theme="0" tint="-0.24994659260841701"/>
      </left>
      <right style="medium">
        <color indexed="64"/>
      </right>
      <top style="hair">
        <color indexed="64"/>
      </top>
      <bottom style="medium">
        <color indexed="64"/>
      </bottom>
      <diagonal/>
    </border>
    <border>
      <left style="medium">
        <color indexed="64"/>
      </left>
      <right style="dotted">
        <color theme="0" tint="-0.24994659260841701"/>
      </right>
      <top style="hair">
        <color indexed="64"/>
      </top>
      <bottom style="medium">
        <color indexed="64"/>
      </bottom>
      <diagonal/>
    </border>
    <border>
      <left style="dotted">
        <color theme="0" tint="-0.24994659260841701"/>
      </left>
      <right style="dotted">
        <color theme="0" tint="-0.24994659260841701"/>
      </right>
      <top style="hair">
        <color indexed="64"/>
      </top>
      <bottom style="medium">
        <color indexed="64"/>
      </bottom>
      <diagonal/>
    </border>
  </borders>
  <cellStyleXfs count="1">
    <xf numFmtId="0" fontId="0" fillId="0" borderId="0"/>
  </cellStyleXfs>
  <cellXfs count="158">
    <xf numFmtId="0" fontId="0" fillId="0" borderId="0" xfId="0"/>
    <xf numFmtId="0" fontId="16" fillId="0" borderId="32" xfId="0" applyFont="1" applyBorder="1" applyAlignment="1" applyProtection="1">
      <alignment horizontal="center" vertical="center" wrapText="1"/>
      <protection locked="0"/>
    </xf>
    <xf numFmtId="13" fontId="16" fillId="0" borderId="33" xfId="0" applyNumberFormat="1" applyFont="1" applyBorder="1" applyAlignment="1" applyProtection="1">
      <alignment horizontal="center" vertical="center"/>
      <protection locked="0"/>
    </xf>
    <xf numFmtId="13" fontId="16" fillId="0" borderId="34" xfId="0" applyNumberFormat="1" applyFont="1" applyBorder="1" applyAlignment="1" applyProtection="1">
      <alignment horizontal="center" vertical="center"/>
      <protection locked="0"/>
    </xf>
    <xf numFmtId="13" fontId="16" fillId="0" borderId="32" xfId="0" applyNumberFormat="1" applyFont="1" applyBorder="1" applyAlignment="1" applyProtection="1">
      <alignment horizontal="center" vertical="center"/>
      <protection locked="0"/>
    </xf>
    <xf numFmtId="0" fontId="16" fillId="0" borderId="35" xfId="0" applyFont="1" applyBorder="1" applyAlignment="1" applyProtection="1">
      <alignment horizontal="center" vertical="center" wrapText="1"/>
      <protection locked="0"/>
    </xf>
    <xf numFmtId="13" fontId="16" fillId="0" borderId="36" xfId="0" applyNumberFormat="1" applyFont="1" applyBorder="1" applyAlignment="1" applyProtection="1">
      <alignment horizontal="center" vertical="center"/>
      <protection locked="0"/>
    </xf>
    <xf numFmtId="13" fontId="16" fillId="0" borderId="37" xfId="0" applyNumberFormat="1" applyFont="1" applyBorder="1" applyAlignment="1" applyProtection="1">
      <alignment horizontal="center" vertical="center"/>
      <protection locked="0"/>
    </xf>
    <xf numFmtId="13" fontId="16" fillId="0" borderId="35" xfId="0" applyNumberFormat="1" applyFont="1" applyBorder="1" applyAlignment="1" applyProtection="1">
      <alignment horizontal="center" vertical="center"/>
      <protection locked="0"/>
    </xf>
    <xf numFmtId="0" fontId="11" fillId="3" borderId="0" xfId="0" applyFont="1" applyFill="1" applyAlignment="1">
      <alignment horizontal="center"/>
    </xf>
    <xf numFmtId="0" fontId="0" fillId="3" borderId="0" xfId="0" applyFill="1"/>
    <xf numFmtId="0" fontId="18" fillId="2" borderId="7" xfId="0" applyFont="1" applyFill="1" applyBorder="1" applyAlignment="1">
      <alignment horizontal="center" vertical="center"/>
    </xf>
    <xf numFmtId="0" fontId="15" fillId="3" borderId="0" xfId="0" applyFont="1" applyFill="1" applyAlignment="1">
      <alignment horizontal="center" vertical="center"/>
    </xf>
    <xf numFmtId="49" fontId="16" fillId="3" borderId="0" xfId="0" applyNumberFormat="1" applyFont="1" applyFill="1" applyAlignment="1">
      <alignment horizontal="center" vertical="center"/>
    </xf>
    <xf numFmtId="49" fontId="16" fillId="3" borderId="2" xfId="0" applyNumberFormat="1" applyFont="1" applyFill="1" applyBorder="1" applyAlignment="1">
      <alignment horizontal="center" vertical="center"/>
    </xf>
    <xf numFmtId="0" fontId="11" fillId="3" borderId="0" xfId="0" applyFont="1" applyFill="1" applyAlignment="1">
      <alignment horizontal="center" wrapText="1"/>
    </xf>
    <xf numFmtId="0" fontId="17" fillId="2" borderId="7" xfId="0" applyFont="1" applyFill="1" applyBorder="1" applyAlignment="1">
      <alignment horizontal="center" vertical="center"/>
    </xf>
    <xf numFmtId="0" fontId="19" fillId="3" borderId="0" xfId="0" applyFont="1" applyFill="1" applyAlignment="1">
      <alignment horizontal="center" vertical="center"/>
    </xf>
    <xf numFmtId="0" fontId="20" fillId="3" borderId="0" xfId="0" applyFont="1" applyFill="1"/>
    <xf numFmtId="0" fontId="21" fillId="4" borderId="8" xfId="0" applyFont="1" applyFill="1" applyBorder="1"/>
    <xf numFmtId="0" fontId="21" fillId="4" borderId="9" xfId="0" applyFont="1" applyFill="1" applyBorder="1"/>
    <xf numFmtId="0" fontId="21" fillId="4" borderId="10" xfId="0" applyFont="1" applyFill="1" applyBorder="1"/>
    <xf numFmtId="0" fontId="22" fillId="3" borderId="0" xfId="0" applyFont="1" applyFill="1" applyAlignment="1">
      <alignment horizontal="center"/>
    </xf>
    <xf numFmtId="0" fontId="21" fillId="3" borderId="0" xfId="0" applyFont="1" applyFill="1"/>
    <xf numFmtId="0" fontId="21" fillId="0" borderId="0" xfId="0" applyFont="1"/>
    <xf numFmtId="0" fontId="17" fillId="2" borderId="11" xfId="0" applyFont="1" applyFill="1" applyBorder="1" applyAlignment="1">
      <alignment horizontal="center" wrapText="1"/>
    </xf>
    <xf numFmtId="0" fontId="17" fillId="2" borderId="12" xfId="0" quotePrefix="1" applyFont="1" applyFill="1" applyBorder="1" applyAlignment="1">
      <alignment horizontal="center" wrapText="1"/>
    </xf>
    <xf numFmtId="0" fontId="17" fillId="2" borderId="13" xfId="0" applyFont="1" applyFill="1" applyBorder="1" applyAlignment="1">
      <alignment horizontal="center" wrapText="1"/>
    </xf>
    <xf numFmtId="0" fontId="17" fillId="2" borderId="12" xfId="0" applyFont="1" applyFill="1" applyBorder="1" applyAlignment="1">
      <alignment horizontal="center" wrapText="1"/>
    </xf>
    <xf numFmtId="0" fontId="17" fillId="2" borderId="14" xfId="0" applyFont="1" applyFill="1" applyBorder="1" applyAlignment="1">
      <alignment horizontal="center" wrapText="1"/>
    </xf>
    <xf numFmtId="0" fontId="12" fillId="3" borderId="0" xfId="0" applyFont="1" applyFill="1" applyAlignment="1">
      <alignment horizontal="center"/>
    </xf>
    <xf numFmtId="0" fontId="13" fillId="3" borderId="0" xfId="0" applyFont="1" applyFill="1" applyAlignment="1">
      <alignment horizontal="center"/>
    </xf>
    <xf numFmtId="0" fontId="13" fillId="0" borderId="0" xfId="0" applyFont="1" applyAlignment="1">
      <alignment horizontal="center"/>
    </xf>
    <xf numFmtId="0" fontId="23" fillId="0" borderId="33" xfId="0" applyFont="1" applyBorder="1" applyAlignment="1">
      <alignment horizontal="center" vertical="center" wrapText="1"/>
    </xf>
    <xf numFmtId="0" fontId="16" fillId="0" borderId="32" xfId="0" applyFont="1" applyBorder="1" applyAlignment="1">
      <alignment horizontal="center" vertical="center" wrapText="1"/>
    </xf>
    <xf numFmtId="0" fontId="23" fillId="0" borderId="36" xfId="0" applyFont="1" applyBorder="1" applyAlignment="1">
      <alignment horizontal="center" vertical="center" wrapText="1"/>
    </xf>
    <xf numFmtId="0" fontId="16" fillId="0" borderId="35" xfId="0" applyFont="1" applyBorder="1" applyAlignment="1">
      <alignment horizontal="center" vertical="center" wrapText="1"/>
    </xf>
    <xf numFmtId="0" fontId="17" fillId="0" borderId="33" xfId="0" applyFont="1" applyBorder="1" applyAlignment="1">
      <alignment horizontal="center" vertical="center" wrapText="1"/>
    </xf>
    <xf numFmtId="0" fontId="17" fillId="0" borderId="36" xfId="0" applyFont="1" applyBorder="1" applyAlignment="1">
      <alignment horizontal="center" vertical="center" wrapText="1"/>
    </xf>
    <xf numFmtId="0" fontId="21" fillId="4" borderId="10" xfId="0" applyFont="1" applyFill="1" applyBorder="1" applyAlignment="1">
      <alignment horizontal="center" vertical="center"/>
    </xf>
    <xf numFmtId="0" fontId="24" fillId="3" borderId="0" xfId="0" applyFont="1" applyFill="1" applyAlignment="1">
      <alignment horizontal="center" vertical="center"/>
    </xf>
    <xf numFmtId="0" fontId="0" fillId="3" borderId="0" xfId="0" applyFill="1" applyAlignment="1">
      <alignment horizontal="center"/>
    </xf>
    <xf numFmtId="0" fontId="16" fillId="0" borderId="13" xfId="0" applyFont="1" applyBorder="1" applyAlignment="1" applyProtection="1">
      <alignment horizontal="center" vertical="center" wrapText="1"/>
      <protection locked="0"/>
    </xf>
    <xf numFmtId="0" fontId="16" fillId="0" borderId="33" xfId="0" applyFont="1" applyBorder="1" applyAlignment="1" applyProtection="1">
      <alignment horizontal="center" vertical="center" wrapText="1"/>
      <protection locked="0"/>
    </xf>
    <xf numFmtId="0" fontId="16" fillId="0" borderId="34" xfId="0" applyFont="1" applyBorder="1" applyAlignment="1" applyProtection="1">
      <alignment horizontal="center" vertical="center" wrapText="1"/>
      <protection locked="0"/>
    </xf>
    <xf numFmtId="0" fontId="16" fillId="0" borderId="15" xfId="0" applyFont="1" applyBorder="1" applyAlignment="1" applyProtection="1">
      <alignment horizontal="center" vertical="center" wrapText="1"/>
      <protection locked="0"/>
    </xf>
    <xf numFmtId="0" fontId="16" fillId="0" borderId="36" xfId="0" applyFont="1" applyBorder="1" applyAlignment="1" applyProtection="1">
      <alignment horizontal="center" vertical="center" wrapText="1"/>
      <protection locked="0"/>
    </xf>
    <xf numFmtId="0" fontId="16" fillId="0" borderId="37" xfId="0" applyFont="1" applyBorder="1" applyAlignment="1" applyProtection="1">
      <alignment horizontal="center" vertical="center" wrapText="1"/>
      <protection locked="0"/>
    </xf>
    <xf numFmtId="0" fontId="0" fillId="0" borderId="33" xfId="0" applyBorder="1" applyAlignment="1" applyProtection="1">
      <alignment horizontal="center" vertical="center" wrapText="1"/>
      <protection locked="0"/>
    </xf>
    <xf numFmtId="0" fontId="25" fillId="0" borderId="32" xfId="0" applyFont="1" applyBorder="1" applyAlignment="1" applyProtection="1">
      <alignment horizontal="center" vertical="center" wrapText="1"/>
      <protection locked="0"/>
    </xf>
    <xf numFmtId="0" fontId="0" fillId="0" borderId="36" xfId="0" applyBorder="1" applyAlignment="1" applyProtection="1">
      <alignment horizontal="center" vertical="center" wrapText="1"/>
      <protection locked="0"/>
    </xf>
    <xf numFmtId="0" fontId="25" fillId="0" borderId="35" xfId="0" applyFont="1" applyBorder="1" applyAlignment="1" applyProtection="1">
      <alignment horizontal="center" vertical="center" wrapText="1"/>
      <protection locked="0"/>
    </xf>
    <xf numFmtId="49" fontId="16" fillId="0" borderId="32" xfId="0" applyNumberFormat="1" applyFont="1" applyBorder="1" applyAlignment="1" applyProtection="1">
      <alignment horizontal="center" vertical="center" wrapText="1"/>
      <protection locked="0"/>
    </xf>
    <xf numFmtId="49" fontId="16" fillId="0" borderId="35" xfId="0" applyNumberFormat="1" applyFont="1" applyBorder="1" applyAlignment="1" applyProtection="1">
      <alignment horizontal="center" vertical="center" wrapText="1"/>
      <protection locked="0"/>
    </xf>
    <xf numFmtId="0" fontId="14" fillId="3" borderId="0" xfId="0" applyFont="1" applyFill="1"/>
    <xf numFmtId="0" fontId="27" fillId="3" borderId="0" xfId="0" applyFont="1" applyFill="1" applyAlignment="1">
      <alignment horizontal="center" vertical="top"/>
    </xf>
    <xf numFmtId="13" fontId="25" fillId="0" borderId="34" xfId="0" applyNumberFormat="1" applyFont="1" applyBorder="1" applyAlignment="1" applyProtection="1">
      <alignment horizontal="center" vertical="center"/>
      <protection locked="0"/>
    </xf>
    <xf numFmtId="49" fontId="26" fillId="5" borderId="16" xfId="0" applyNumberFormat="1" applyFont="1" applyFill="1" applyBorder="1" applyAlignment="1" applyProtection="1">
      <alignment horizontal="center" vertical="center"/>
      <protection locked="0"/>
    </xf>
    <xf numFmtId="49" fontId="32" fillId="3" borderId="0" xfId="0" applyNumberFormat="1" applyFont="1" applyFill="1" applyAlignment="1">
      <alignment horizontal="left"/>
    </xf>
    <xf numFmtId="0" fontId="32" fillId="3" borderId="0" xfId="0" applyFont="1" applyFill="1" applyAlignment="1">
      <alignment horizontal="center"/>
    </xf>
    <xf numFmtId="0" fontId="33" fillId="3" borderId="0" xfId="0" applyFont="1" applyFill="1" applyAlignment="1">
      <alignment horizontal="center"/>
    </xf>
    <xf numFmtId="0" fontId="34" fillId="3" borderId="0" xfId="0" applyFont="1" applyFill="1" applyAlignment="1">
      <alignment horizontal="center"/>
    </xf>
    <xf numFmtId="0" fontId="35" fillId="3" borderId="0" xfId="0" applyFont="1" applyFill="1" applyAlignment="1">
      <alignment horizontal="center"/>
    </xf>
    <xf numFmtId="0" fontId="35" fillId="3" borderId="0" xfId="0" applyFont="1" applyFill="1" applyAlignment="1">
      <alignment horizontal="center" wrapText="1"/>
    </xf>
    <xf numFmtId="0" fontId="15" fillId="3" borderId="0" xfId="0" applyFont="1" applyFill="1" applyAlignment="1">
      <alignment horizontal="center" wrapText="1"/>
    </xf>
    <xf numFmtId="0" fontId="36" fillId="3" borderId="0" xfId="0" applyFont="1" applyFill="1"/>
    <xf numFmtId="0" fontId="32" fillId="3" borderId="0" xfId="0" applyFont="1" applyFill="1" applyAlignment="1">
      <alignment horizontal="left"/>
    </xf>
    <xf numFmtId="0" fontId="15" fillId="3" borderId="0" xfId="0" applyFont="1" applyFill="1" applyAlignment="1">
      <alignment horizontal="center"/>
    </xf>
    <xf numFmtId="0" fontId="37" fillId="3" borderId="0" xfId="0" applyFont="1" applyFill="1" applyAlignment="1">
      <alignment horizontal="center"/>
    </xf>
    <xf numFmtId="0" fontId="38" fillId="3" borderId="0" xfId="0" applyFont="1" applyFill="1" applyAlignment="1">
      <alignment horizontal="center"/>
    </xf>
    <xf numFmtId="0" fontId="32" fillId="3" borderId="0" xfId="0" applyFont="1" applyFill="1"/>
    <xf numFmtId="0" fontId="15" fillId="3" borderId="0" xfId="0" applyFont="1" applyFill="1"/>
    <xf numFmtId="0" fontId="39" fillId="3" borderId="0" xfId="0" applyFont="1" applyFill="1" applyAlignment="1">
      <alignment horizontal="center"/>
    </xf>
    <xf numFmtId="0" fontId="40" fillId="3" borderId="0" xfId="0" applyFont="1" applyFill="1" applyAlignment="1">
      <alignment horizontal="center"/>
    </xf>
    <xf numFmtId="0" fontId="34" fillId="3" borderId="0" xfId="0" applyFont="1" applyFill="1"/>
    <xf numFmtId="0" fontId="32" fillId="3" borderId="0" xfId="0" quotePrefix="1" applyFont="1" applyFill="1" applyAlignment="1">
      <alignment horizontal="center"/>
    </xf>
    <xf numFmtId="13" fontId="32" fillId="3" borderId="0" xfId="0" applyNumberFormat="1" applyFont="1" applyFill="1" applyAlignment="1">
      <alignment horizontal="center"/>
    </xf>
    <xf numFmtId="13" fontId="15" fillId="3" borderId="0" xfId="0" applyNumberFormat="1" applyFont="1" applyFill="1" applyAlignment="1">
      <alignment horizontal="center"/>
    </xf>
    <xf numFmtId="0" fontId="25" fillId="3" borderId="0" xfId="0" applyFont="1" applyFill="1"/>
    <xf numFmtId="0" fontId="23" fillId="3" borderId="0" xfId="0" applyFont="1" applyFill="1" applyAlignment="1">
      <alignment horizontal="center" vertical="center" wrapText="1"/>
    </xf>
    <xf numFmtId="1" fontId="25" fillId="3" borderId="0" xfId="0" applyNumberFormat="1" applyFont="1" applyFill="1" applyAlignment="1">
      <alignment horizontal="center"/>
    </xf>
    <xf numFmtId="13" fontId="25" fillId="3" borderId="0" xfId="0" applyNumberFormat="1" applyFont="1" applyFill="1" applyAlignment="1">
      <alignment horizontal="center"/>
    </xf>
    <xf numFmtId="0" fontId="40" fillId="3" borderId="0" xfId="0" applyFont="1" applyFill="1" applyAlignment="1">
      <alignment vertical="top"/>
    </xf>
    <xf numFmtId="0" fontId="40" fillId="3" borderId="0" xfId="0" applyFont="1" applyFill="1" applyAlignment="1">
      <alignment horizontal="center" vertical="top" wrapText="1"/>
    </xf>
    <xf numFmtId="0" fontId="42" fillId="3" borderId="0" xfId="0" applyFont="1" applyFill="1" applyAlignment="1">
      <alignment horizontal="center"/>
    </xf>
    <xf numFmtId="13" fontId="25" fillId="3" borderId="0" xfId="0" applyNumberFormat="1" applyFont="1" applyFill="1"/>
    <xf numFmtId="0" fontId="25" fillId="3" borderId="0" xfId="0" applyFont="1" applyFill="1" applyAlignment="1">
      <alignment horizontal="center"/>
    </xf>
    <xf numFmtId="0" fontId="23" fillId="3" borderId="0" xfId="0" applyFont="1" applyFill="1"/>
    <xf numFmtId="49" fontId="32" fillId="3" borderId="0" xfId="0" applyNumberFormat="1" applyFont="1" applyFill="1" applyAlignment="1">
      <alignment horizontal="center"/>
    </xf>
    <xf numFmtId="0" fontId="28" fillId="3" borderId="1" xfId="0" applyFont="1" applyFill="1" applyBorder="1" applyAlignment="1">
      <alignment horizontal="center" vertical="center" wrapText="1"/>
    </xf>
    <xf numFmtId="0" fontId="28" fillId="3" borderId="0" xfId="0" applyFont="1" applyFill="1" applyAlignment="1">
      <alignment horizontal="center" vertical="center" wrapText="1"/>
    </xf>
    <xf numFmtId="0" fontId="16" fillId="3" borderId="1" xfId="0" applyFont="1" applyFill="1" applyBorder="1" applyAlignment="1" applyProtection="1">
      <alignment horizontal="center" vertical="center"/>
      <protection locked="0"/>
    </xf>
    <xf numFmtId="0" fontId="16" fillId="3" borderId="2" xfId="0" applyFont="1" applyFill="1" applyBorder="1" applyAlignment="1" applyProtection="1">
      <alignment horizontal="center" vertical="center"/>
      <protection locked="0"/>
    </xf>
    <xf numFmtId="49" fontId="16" fillId="3" borderId="1" xfId="0" applyNumberFormat="1" applyFont="1" applyFill="1" applyBorder="1" applyAlignment="1" applyProtection="1">
      <alignment horizontal="center" vertical="center"/>
      <protection locked="0"/>
    </xf>
    <xf numFmtId="49" fontId="16" fillId="3" borderId="2" xfId="0" applyNumberFormat="1" applyFont="1" applyFill="1" applyBorder="1" applyAlignment="1" applyProtection="1">
      <alignment horizontal="center" vertical="center"/>
      <protection locked="0"/>
    </xf>
    <xf numFmtId="0" fontId="16" fillId="3" borderId="3" xfId="0" applyFont="1" applyFill="1" applyBorder="1" applyAlignment="1" applyProtection="1">
      <alignment horizontal="center" vertical="center"/>
      <protection locked="0"/>
    </xf>
    <xf numFmtId="0" fontId="16" fillId="3" borderId="5" xfId="0" applyFont="1" applyFill="1" applyBorder="1" applyAlignment="1" applyProtection="1">
      <alignment horizontal="center" vertical="center"/>
      <protection locked="0"/>
    </xf>
    <xf numFmtId="0" fontId="17" fillId="3" borderId="1" xfId="0" applyFont="1" applyFill="1" applyBorder="1" applyAlignment="1">
      <alignment horizontal="right" vertical="center"/>
    </xf>
    <xf numFmtId="0" fontId="17" fillId="3" borderId="0" xfId="0" applyFont="1" applyFill="1" applyAlignment="1">
      <alignment horizontal="right" vertical="center"/>
    </xf>
    <xf numFmtId="14" fontId="16" fillId="3" borderId="17" xfId="0" applyNumberFormat="1" applyFont="1" applyFill="1" applyBorder="1" applyAlignment="1" applyProtection="1">
      <alignment horizontal="center" vertical="center"/>
      <protection locked="0"/>
    </xf>
    <xf numFmtId="14" fontId="16" fillId="3" borderId="18" xfId="0" applyNumberFormat="1" applyFont="1" applyFill="1" applyBorder="1" applyAlignment="1" applyProtection="1">
      <alignment horizontal="center" vertical="center"/>
      <protection locked="0"/>
    </xf>
    <xf numFmtId="49" fontId="17" fillId="3" borderId="19" xfId="0" applyNumberFormat="1" applyFont="1" applyFill="1" applyBorder="1" applyAlignment="1" applyProtection="1">
      <alignment horizontal="center" vertical="center"/>
      <protection locked="0"/>
    </xf>
    <xf numFmtId="49" fontId="17" fillId="3" borderId="20" xfId="0" applyNumberFormat="1" applyFont="1" applyFill="1" applyBorder="1" applyAlignment="1" applyProtection="1">
      <alignment horizontal="center" vertical="center"/>
      <protection locked="0"/>
    </xf>
    <xf numFmtId="0" fontId="21" fillId="4" borderId="8" xfId="0" applyFont="1" applyFill="1" applyBorder="1" applyAlignment="1">
      <alignment horizontal="center" vertical="center"/>
    </xf>
    <xf numFmtId="0" fontId="21" fillId="4" borderId="9" xfId="0" applyFont="1" applyFill="1" applyBorder="1" applyAlignment="1">
      <alignment horizontal="center" vertical="center"/>
    </xf>
    <xf numFmtId="0" fontId="21" fillId="4" borderId="21" xfId="0" applyFont="1" applyFill="1" applyBorder="1" applyAlignment="1">
      <alignment horizontal="center" vertical="center"/>
    </xf>
    <xf numFmtId="0" fontId="14" fillId="3" borderId="1" xfId="0" applyFont="1" applyFill="1" applyBorder="1" applyAlignment="1" applyProtection="1">
      <alignment horizontal="center" vertical="center" wrapText="1"/>
      <protection locked="0"/>
    </xf>
    <xf numFmtId="0" fontId="14" fillId="3" borderId="0" xfId="0" applyFont="1" applyFill="1" applyAlignment="1" applyProtection="1">
      <alignment horizontal="center" vertical="center" wrapText="1"/>
      <protection locked="0"/>
    </xf>
    <xf numFmtId="0" fontId="14" fillId="3" borderId="2" xfId="0" applyFont="1" applyFill="1" applyBorder="1" applyAlignment="1" applyProtection="1">
      <alignment horizontal="center" vertical="center" wrapText="1"/>
      <protection locked="0"/>
    </xf>
    <xf numFmtId="0" fontId="14" fillId="3" borderId="3" xfId="0" applyFont="1" applyFill="1" applyBorder="1" applyAlignment="1" applyProtection="1">
      <alignment horizontal="center" vertical="center" wrapText="1"/>
      <protection locked="0"/>
    </xf>
    <xf numFmtId="0" fontId="14" fillId="3" borderId="4" xfId="0" applyFont="1" applyFill="1" applyBorder="1" applyAlignment="1" applyProtection="1">
      <alignment horizontal="center" vertical="center" wrapText="1"/>
      <protection locked="0"/>
    </xf>
    <xf numFmtId="0" fontId="14" fillId="3" borderId="5" xfId="0" applyFont="1" applyFill="1" applyBorder="1" applyAlignment="1" applyProtection="1">
      <alignment horizontal="center" vertical="center" wrapText="1"/>
      <protection locked="0"/>
    </xf>
    <xf numFmtId="0" fontId="30" fillId="7" borderId="27" xfId="0" applyFont="1" applyFill="1" applyBorder="1" applyAlignment="1">
      <alignment horizontal="center" vertical="center" wrapText="1"/>
    </xf>
    <xf numFmtId="0" fontId="30" fillId="7" borderId="6" xfId="0" applyFont="1" applyFill="1" applyBorder="1" applyAlignment="1">
      <alignment horizontal="center" vertical="center" wrapText="1"/>
    </xf>
    <xf numFmtId="0" fontId="30" fillId="7" borderId="28" xfId="0" applyFont="1" applyFill="1" applyBorder="1" applyAlignment="1">
      <alignment horizontal="center" vertical="center" wrapText="1"/>
    </xf>
    <xf numFmtId="0" fontId="0" fillId="0" borderId="1" xfId="0" applyBorder="1" applyAlignment="1">
      <alignment horizontal="center"/>
    </xf>
    <xf numFmtId="0" fontId="0" fillId="0" borderId="2" xfId="0" applyBorder="1" applyAlignment="1">
      <alignment horizontal="center"/>
    </xf>
    <xf numFmtId="0" fontId="22" fillId="8" borderId="27" xfId="0" applyFont="1" applyFill="1" applyBorder="1" applyAlignment="1">
      <alignment horizontal="center" vertical="center"/>
    </xf>
    <xf numFmtId="0" fontId="22" fillId="8" borderId="28" xfId="0" applyFont="1" applyFill="1" applyBorder="1" applyAlignment="1">
      <alignment horizontal="center" vertical="center"/>
    </xf>
    <xf numFmtId="0" fontId="0" fillId="3" borderId="0" xfId="0" applyFill="1" applyAlignment="1">
      <alignment horizontal="center"/>
    </xf>
    <xf numFmtId="0" fontId="13" fillId="6" borderId="22" xfId="0" applyFont="1" applyFill="1" applyBorder="1" applyAlignment="1">
      <alignment horizontal="center" vertical="center" wrapText="1"/>
    </xf>
    <xf numFmtId="0" fontId="13" fillId="6" borderId="23" xfId="0" applyFont="1" applyFill="1" applyBorder="1" applyAlignment="1">
      <alignment horizontal="center" vertical="center" wrapText="1"/>
    </xf>
    <xf numFmtId="0" fontId="13" fillId="6" borderId="24" xfId="0" applyFont="1" applyFill="1" applyBorder="1" applyAlignment="1">
      <alignment horizontal="center" vertical="center" wrapText="1"/>
    </xf>
    <xf numFmtId="49" fontId="17" fillId="3" borderId="25" xfId="0" applyNumberFormat="1" applyFont="1" applyFill="1" applyBorder="1" applyAlignment="1" applyProtection="1">
      <alignment horizontal="center" vertical="center"/>
      <protection locked="0"/>
    </xf>
    <xf numFmtId="49" fontId="17" fillId="3" borderId="26" xfId="0" applyNumberFormat="1" applyFont="1" applyFill="1" applyBorder="1" applyAlignment="1" applyProtection="1">
      <alignment horizontal="center" vertical="center"/>
      <protection locked="0"/>
    </xf>
    <xf numFmtId="0" fontId="17" fillId="3" borderId="3" xfId="0" applyFont="1" applyFill="1" applyBorder="1" applyAlignment="1">
      <alignment horizontal="right" vertical="center"/>
    </xf>
    <xf numFmtId="0" fontId="17" fillId="3" borderId="4" xfId="0" applyFont="1" applyFill="1" applyBorder="1" applyAlignment="1">
      <alignment horizontal="right" vertical="center"/>
    </xf>
    <xf numFmtId="0" fontId="21" fillId="4" borderId="8" xfId="0" applyFont="1" applyFill="1" applyBorder="1" applyAlignment="1">
      <alignment horizontal="center" vertical="center" wrapText="1"/>
    </xf>
    <xf numFmtId="0" fontId="21" fillId="4" borderId="9" xfId="0" applyFont="1" applyFill="1" applyBorder="1" applyAlignment="1">
      <alignment horizontal="center" vertical="center" wrapText="1"/>
    </xf>
    <xf numFmtId="0" fontId="21" fillId="4" borderId="21" xfId="0" applyFont="1" applyFill="1" applyBorder="1" applyAlignment="1">
      <alignment horizontal="center" vertical="center" wrapText="1"/>
    </xf>
    <xf numFmtId="0" fontId="16" fillId="3" borderId="1" xfId="0" applyFont="1" applyFill="1" applyBorder="1" applyAlignment="1">
      <alignment horizontal="right"/>
    </xf>
    <xf numFmtId="0" fontId="16" fillId="3" borderId="0" xfId="0" applyFont="1" applyFill="1" applyAlignment="1">
      <alignment horizontal="right"/>
    </xf>
    <xf numFmtId="0" fontId="0" fillId="0" borderId="0" xfId="0" applyAlignment="1">
      <alignment horizontal="center"/>
    </xf>
    <xf numFmtId="0" fontId="28" fillId="3" borderId="0" xfId="0" applyFont="1" applyFill="1" applyAlignment="1">
      <alignment horizontal="center" vertical="center"/>
    </xf>
    <xf numFmtId="164" fontId="13" fillId="3" borderId="0" xfId="0" applyNumberFormat="1" applyFont="1" applyFill="1" applyAlignment="1">
      <alignment horizontal="right" vertical="top"/>
    </xf>
    <xf numFmtId="0" fontId="18" fillId="2" borderId="27" xfId="0" applyFont="1" applyFill="1" applyBorder="1" applyAlignment="1">
      <alignment horizontal="center" vertical="center"/>
    </xf>
    <xf numFmtId="0" fontId="18" fillId="2" borderId="6" xfId="0" applyFont="1" applyFill="1" applyBorder="1" applyAlignment="1">
      <alignment horizontal="center" vertical="center"/>
    </xf>
    <xf numFmtId="0" fontId="18" fillId="2" borderId="28" xfId="0" applyFont="1" applyFill="1" applyBorder="1" applyAlignment="1">
      <alignment horizontal="center" vertical="center"/>
    </xf>
    <xf numFmtId="0" fontId="29" fillId="3" borderId="29" xfId="0" applyFont="1" applyFill="1" applyBorder="1" applyAlignment="1">
      <alignment horizontal="center" vertical="center"/>
    </xf>
    <xf numFmtId="49" fontId="17" fillId="3" borderId="17" xfId="0" applyNumberFormat="1" applyFont="1" applyFill="1" applyBorder="1" applyAlignment="1" applyProtection="1">
      <alignment horizontal="center" vertical="center"/>
      <protection locked="0"/>
    </xf>
    <xf numFmtId="49" fontId="17" fillId="3" borderId="18" xfId="0" applyNumberFormat="1" applyFont="1" applyFill="1" applyBorder="1" applyAlignment="1" applyProtection="1">
      <alignment horizontal="center" vertical="center"/>
      <protection locked="0"/>
    </xf>
    <xf numFmtId="1" fontId="28" fillId="0" borderId="30" xfId="0" applyNumberFormat="1" applyFont="1" applyBorder="1" applyAlignment="1" applyProtection="1">
      <alignment horizontal="center" vertical="center"/>
      <protection locked="0"/>
    </xf>
    <xf numFmtId="1" fontId="28" fillId="0" borderId="31" xfId="0" applyNumberFormat="1" applyFont="1" applyBorder="1" applyAlignment="1" applyProtection="1">
      <alignment horizontal="center" vertical="center"/>
      <protection locked="0"/>
    </xf>
    <xf numFmtId="0" fontId="0" fillId="0" borderId="3" xfId="0" applyBorder="1" applyAlignment="1">
      <alignment horizontal="center"/>
    </xf>
    <xf numFmtId="0" fontId="0" fillId="0" borderId="5" xfId="0" applyBorder="1" applyAlignment="1">
      <alignment horizontal="center"/>
    </xf>
    <xf numFmtId="0" fontId="22" fillId="8" borderId="6" xfId="0" applyFont="1" applyFill="1" applyBorder="1" applyAlignment="1">
      <alignment horizontal="center" vertical="center"/>
    </xf>
    <xf numFmtId="0" fontId="0" fillId="0" borderId="4" xfId="0" applyBorder="1" applyAlignment="1">
      <alignment horizontal="center"/>
    </xf>
    <xf numFmtId="0" fontId="14" fillId="3" borderId="0" xfId="0" applyFont="1" applyFill="1" applyAlignment="1">
      <alignment horizontal="center"/>
    </xf>
    <xf numFmtId="0" fontId="27" fillId="3" borderId="0" xfId="0" applyFont="1" applyFill="1" applyAlignment="1">
      <alignment horizontal="center" vertical="top"/>
    </xf>
    <xf numFmtId="0" fontId="31" fillId="3" borderId="0" xfId="0" applyFont="1" applyFill="1" applyAlignment="1">
      <alignment horizontal="center" vertical="top"/>
    </xf>
    <xf numFmtId="0" fontId="33" fillId="3" borderId="0" xfId="0" applyFont="1" applyFill="1" applyAlignment="1">
      <alignment horizontal="center"/>
    </xf>
    <xf numFmtId="0" fontId="23" fillId="3" borderId="0" xfId="0" applyFont="1" applyFill="1" applyAlignment="1">
      <alignment horizontal="center" vertical="center" wrapText="1"/>
    </xf>
    <xf numFmtId="0" fontId="41" fillId="3" borderId="0" xfId="0" applyFont="1" applyFill="1" applyAlignment="1">
      <alignment horizontal="center"/>
    </xf>
    <xf numFmtId="0" fontId="25" fillId="3" borderId="0" xfId="0" applyFont="1" applyFill="1" applyAlignment="1">
      <alignment horizontal="center"/>
    </xf>
    <xf numFmtId="1" fontId="25" fillId="3" borderId="0" xfId="0" applyNumberFormat="1" applyFont="1" applyFill="1" applyAlignment="1">
      <alignment horizontal="center"/>
    </xf>
    <xf numFmtId="0" fontId="42" fillId="3" borderId="0" xfId="0" applyFont="1" applyFill="1" applyAlignment="1">
      <alignment horizontal="center"/>
    </xf>
    <xf numFmtId="0" fontId="40" fillId="3" borderId="0" xfId="0" applyFont="1" applyFill="1" applyAlignment="1">
      <alignment horizontal="center" vertical="top"/>
    </xf>
    <xf numFmtId="0" fontId="23" fillId="3" borderId="0" xfId="0" applyFont="1" applyFill="1" applyAlignment="1">
      <alignment horizontal="center"/>
    </xf>
  </cellXfs>
  <cellStyles count="1">
    <cellStyle name="Normal" xfId="0" builtinId="0"/>
  </cellStyles>
  <dxfs count="1771">
    <dxf>
      <font>
        <b/>
        <i val="0"/>
        <color rgb="FFFF0000"/>
      </font>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00"/>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theme="0" tint="-0.34998626667073579"/>
        </patternFill>
      </fill>
    </dxf>
    <dxf>
      <font>
        <color auto="1"/>
      </font>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ont>
        <b/>
        <i val="0"/>
        <color rgb="FFFF0000"/>
      </font>
    </dxf>
    <dxf>
      <fill>
        <patternFill>
          <bgColor theme="0" tint="-4.9989318521683403E-2"/>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patternType="none">
          <bgColor indexed="65"/>
        </patternFill>
      </fill>
    </dxf>
    <dxf>
      <fill>
        <patternFill>
          <bgColor rgb="FFFFFF00"/>
        </patternFill>
      </fill>
    </dxf>
    <dxf>
      <font>
        <b val="0"/>
        <i val="0"/>
        <color auto="1"/>
      </font>
      <fill>
        <patternFill>
          <bgColor rgb="FFFF0000"/>
        </patternFill>
      </fill>
    </dxf>
    <dxf>
      <fill>
        <patternFill patternType="none">
          <bgColor indexed="65"/>
        </patternFill>
      </fill>
    </dxf>
    <dxf>
      <fill>
        <patternFill>
          <bgColor rgb="FFFFFF00"/>
        </patternFill>
      </fill>
    </dxf>
    <dxf>
      <font>
        <b val="0"/>
        <i val="0"/>
        <color auto="1"/>
      </font>
      <fill>
        <patternFill>
          <bgColor rgb="FFFF0000"/>
        </patternFill>
      </fill>
    </dxf>
    <dxf>
      <fill>
        <patternFill patternType="none">
          <bgColor indexed="65"/>
        </patternFill>
      </fill>
    </dxf>
    <dxf>
      <fill>
        <patternFill>
          <bgColor rgb="FFFFFF00"/>
        </patternFill>
      </fill>
    </dxf>
    <dxf>
      <font>
        <b val="0"/>
        <i val="0"/>
        <color auto="1"/>
      </font>
      <fill>
        <patternFill>
          <bgColor rgb="FFFF0000"/>
        </patternFill>
      </fill>
    </dxf>
    <dxf>
      <fill>
        <patternFill patternType="none">
          <bgColor indexed="65"/>
        </patternFill>
      </fill>
    </dxf>
    <dxf>
      <fill>
        <patternFill>
          <bgColor rgb="FFFFFF00"/>
        </patternFill>
      </fill>
    </dxf>
    <dxf>
      <font>
        <b val="0"/>
        <i val="0"/>
        <color auto="1"/>
      </font>
      <fill>
        <patternFill>
          <bgColor rgb="FFFF0000"/>
        </patternFill>
      </fill>
    </dxf>
    <dxf>
      <fill>
        <patternFill>
          <bgColor rgb="FFFFFF00"/>
        </patternFill>
      </fill>
    </dxf>
    <dxf>
      <font>
        <b val="0"/>
        <i val="0"/>
        <color auto="1"/>
      </font>
      <fill>
        <patternFill>
          <bgColor rgb="FFFF0000"/>
        </patternFill>
      </fill>
    </dxf>
    <dxf>
      <fill>
        <patternFill patternType="none">
          <bgColor indexed="65"/>
        </patternFill>
      </fill>
    </dxf>
    <dxf>
      <font>
        <b val="0"/>
        <i val="0"/>
        <color auto="1"/>
      </font>
      <fill>
        <patternFill>
          <bgColor rgb="FFFF0000"/>
        </patternFill>
      </fill>
    </dxf>
    <dxf>
      <fill>
        <patternFill patternType="none">
          <bgColor indexed="65"/>
        </patternFill>
      </fill>
    </dxf>
    <dxf>
      <fill>
        <patternFill>
          <bgColor rgb="FFFFFF00"/>
        </patternFill>
      </fill>
    </dxf>
    <dxf>
      <fill>
        <patternFill>
          <bgColor rgb="FFFFFF00"/>
        </patternFill>
      </fill>
    </dxf>
    <dxf>
      <font>
        <b val="0"/>
        <i val="0"/>
        <color auto="1"/>
      </font>
      <fill>
        <patternFill>
          <bgColor rgb="FFFF0000"/>
        </patternFill>
      </fill>
    </dxf>
    <dxf>
      <fill>
        <patternFill patternType="none">
          <bgColor indexed="65"/>
        </patternFill>
      </fill>
    </dxf>
    <dxf>
      <fill>
        <patternFill>
          <bgColor rgb="FFFFFF00"/>
        </patternFill>
      </fill>
    </dxf>
    <dxf>
      <font>
        <b val="0"/>
        <i val="0"/>
        <strike val="0"/>
        <color auto="1"/>
      </font>
      <fill>
        <patternFill>
          <bgColor rgb="FFFF0000"/>
        </patternFill>
      </fill>
    </dxf>
    <dxf>
      <fill>
        <patternFill patternType="none">
          <bgColor indexed="65"/>
        </patternFill>
      </fill>
    </dxf>
    <dxf>
      <font>
        <b val="0"/>
        <i val="0"/>
        <color auto="1"/>
      </font>
      <fill>
        <patternFill>
          <bgColor rgb="FFFF0000"/>
        </patternFill>
      </fill>
    </dxf>
    <dxf>
      <fill>
        <patternFill patternType="none">
          <bgColor indexed="65"/>
        </patternFill>
      </fill>
    </dxf>
    <dxf>
      <fill>
        <patternFill>
          <bgColor rgb="FFFFFF00"/>
        </patternFill>
      </fill>
    </dxf>
    <dxf>
      <fill>
        <patternFill patternType="none">
          <bgColor indexed="65"/>
        </patternFill>
      </fill>
    </dxf>
    <dxf>
      <font>
        <b val="0"/>
        <i val="0"/>
        <strike val="0"/>
        <color auto="1"/>
      </font>
      <fill>
        <patternFill>
          <bgColor rgb="FFFF0000"/>
        </patternFill>
      </fill>
    </dxf>
    <dxf>
      <fill>
        <patternFill patternType="solid">
          <bgColor rgb="FFFFFF00"/>
        </patternFill>
      </fill>
    </dxf>
    <dxf>
      <fill>
        <patternFill>
          <bgColor rgb="FFFFFF00"/>
        </patternFill>
      </fill>
    </dxf>
    <dxf>
      <font>
        <color rgb="FFFF0000"/>
      </font>
    </dxf>
    <dxf>
      <fill>
        <patternFill>
          <bgColor rgb="FFFFFF00"/>
        </patternFill>
      </fill>
    </dxf>
    <dxf>
      <fill>
        <patternFill>
          <bgColor rgb="FFFFFF00"/>
        </patternFill>
      </fill>
    </dxf>
    <dxf>
      <fill>
        <patternFill>
          <bgColor rgb="FFFFFF00"/>
        </patternFill>
      </fill>
    </dxf>
    <dxf>
      <fill>
        <patternFill>
          <bgColor theme="0" tint="-0.34998626667073579"/>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ill>
        <patternFill>
          <bgColor rgb="FFFF0000"/>
        </patternFill>
      </fill>
    </dxf>
    <dxf>
      <font>
        <b/>
        <i val="0"/>
        <color rgb="FFFF0000"/>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00"/>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theme="0" tint="-0.34998626667073579"/>
        </patternFill>
      </fill>
    </dxf>
    <dxf>
      <font>
        <color auto="1"/>
      </font>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ont>
        <b/>
        <i val="0"/>
        <color rgb="FFFF0000"/>
      </font>
    </dxf>
    <dxf>
      <fill>
        <patternFill>
          <bgColor theme="0" tint="-4.9989318521683403E-2"/>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patternType="none">
          <bgColor indexed="65"/>
        </patternFill>
      </fill>
    </dxf>
    <dxf>
      <fill>
        <patternFill>
          <bgColor rgb="FFFFFF00"/>
        </patternFill>
      </fill>
    </dxf>
    <dxf>
      <font>
        <b val="0"/>
        <i val="0"/>
        <color auto="1"/>
      </font>
      <fill>
        <patternFill>
          <bgColor rgb="FFFF0000"/>
        </patternFill>
      </fill>
    </dxf>
    <dxf>
      <fill>
        <patternFill patternType="none">
          <bgColor indexed="65"/>
        </patternFill>
      </fill>
    </dxf>
    <dxf>
      <fill>
        <patternFill>
          <bgColor rgb="FFFFFF00"/>
        </patternFill>
      </fill>
    </dxf>
    <dxf>
      <font>
        <b val="0"/>
        <i val="0"/>
        <color auto="1"/>
      </font>
      <fill>
        <patternFill>
          <bgColor rgb="FFFF0000"/>
        </patternFill>
      </fill>
    </dxf>
    <dxf>
      <fill>
        <patternFill patternType="none">
          <bgColor indexed="65"/>
        </patternFill>
      </fill>
    </dxf>
    <dxf>
      <fill>
        <patternFill>
          <bgColor rgb="FFFFFF00"/>
        </patternFill>
      </fill>
    </dxf>
    <dxf>
      <font>
        <b val="0"/>
        <i val="0"/>
        <color auto="1"/>
      </font>
      <fill>
        <patternFill>
          <bgColor rgb="FFFF0000"/>
        </patternFill>
      </fill>
    </dxf>
    <dxf>
      <fill>
        <patternFill patternType="none">
          <bgColor indexed="65"/>
        </patternFill>
      </fill>
    </dxf>
    <dxf>
      <fill>
        <patternFill>
          <bgColor rgb="FFFFFF00"/>
        </patternFill>
      </fill>
    </dxf>
    <dxf>
      <font>
        <b val="0"/>
        <i val="0"/>
        <color auto="1"/>
      </font>
      <fill>
        <patternFill>
          <bgColor rgb="FFFF0000"/>
        </patternFill>
      </fill>
    </dxf>
    <dxf>
      <fill>
        <patternFill>
          <bgColor rgb="FFFFFF00"/>
        </patternFill>
      </fill>
    </dxf>
    <dxf>
      <font>
        <b val="0"/>
        <i val="0"/>
        <color auto="1"/>
      </font>
      <fill>
        <patternFill>
          <bgColor rgb="FFFF0000"/>
        </patternFill>
      </fill>
    </dxf>
    <dxf>
      <fill>
        <patternFill patternType="none">
          <bgColor indexed="65"/>
        </patternFill>
      </fill>
    </dxf>
    <dxf>
      <font>
        <b val="0"/>
        <i val="0"/>
        <color auto="1"/>
      </font>
      <fill>
        <patternFill>
          <bgColor rgb="FFFF0000"/>
        </patternFill>
      </fill>
    </dxf>
    <dxf>
      <fill>
        <patternFill patternType="none">
          <bgColor indexed="65"/>
        </patternFill>
      </fill>
    </dxf>
    <dxf>
      <fill>
        <patternFill>
          <bgColor rgb="FFFFFF00"/>
        </patternFill>
      </fill>
    </dxf>
    <dxf>
      <fill>
        <patternFill>
          <bgColor rgb="FFFFFF00"/>
        </patternFill>
      </fill>
    </dxf>
    <dxf>
      <font>
        <b val="0"/>
        <i val="0"/>
        <color auto="1"/>
      </font>
      <fill>
        <patternFill>
          <bgColor rgb="FFFF0000"/>
        </patternFill>
      </fill>
    </dxf>
    <dxf>
      <fill>
        <patternFill patternType="none">
          <bgColor indexed="65"/>
        </patternFill>
      </fill>
    </dxf>
    <dxf>
      <fill>
        <patternFill>
          <bgColor rgb="FFFFFF00"/>
        </patternFill>
      </fill>
    </dxf>
    <dxf>
      <font>
        <b val="0"/>
        <i val="0"/>
        <strike val="0"/>
        <color auto="1"/>
      </font>
      <fill>
        <patternFill>
          <bgColor rgb="FFFF0000"/>
        </patternFill>
      </fill>
    </dxf>
    <dxf>
      <fill>
        <patternFill patternType="none">
          <bgColor indexed="65"/>
        </patternFill>
      </fill>
    </dxf>
    <dxf>
      <font>
        <b val="0"/>
        <i val="0"/>
        <color auto="1"/>
      </font>
      <fill>
        <patternFill>
          <bgColor rgb="FFFF0000"/>
        </patternFill>
      </fill>
    </dxf>
    <dxf>
      <fill>
        <patternFill patternType="none">
          <bgColor indexed="65"/>
        </patternFill>
      </fill>
    </dxf>
    <dxf>
      <fill>
        <patternFill>
          <bgColor rgb="FFFFFF00"/>
        </patternFill>
      </fill>
    </dxf>
    <dxf>
      <fill>
        <patternFill patternType="none">
          <bgColor indexed="65"/>
        </patternFill>
      </fill>
    </dxf>
    <dxf>
      <font>
        <b val="0"/>
        <i val="0"/>
        <strike val="0"/>
        <color auto="1"/>
      </font>
      <fill>
        <patternFill>
          <bgColor rgb="FFFF0000"/>
        </patternFill>
      </fill>
    </dxf>
    <dxf>
      <fill>
        <patternFill patternType="solid">
          <bgColor rgb="FFFFFF00"/>
        </patternFill>
      </fill>
    </dxf>
    <dxf>
      <fill>
        <patternFill>
          <bgColor rgb="FFFFFF00"/>
        </patternFill>
      </fill>
    </dxf>
    <dxf>
      <font>
        <color rgb="FFFF0000"/>
      </font>
    </dxf>
    <dxf>
      <fill>
        <patternFill>
          <bgColor rgb="FFFFFF00"/>
        </patternFill>
      </fill>
    </dxf>
    <dxf>
      <fill>
        <patternFill>
          <bgColor rgb="FFFFFF00"/>
        </patternFill>
      </fill>
    </dxf>
    <dxf>
      <fill>
        <patternFill>
          <bgColor rgb="FFFFFF00"/>
        </patternFill>
      </fill>
    </dxf>
    <dxf>
      <fill>
        <patternFill>
          <bgColor theme="0" tint="-0.34998626667073579"/>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b/>
        <i val="0"/>
        <color rgb="FFFF0000"/>
      </font>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00"/>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theme="0" tint="-0.34998626667073579"/>
        </patternFill>
      </fill>
    </dxf>
    <dxf>
      <font>
        <color auto="1"/>
      </font>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ont>
        <b/>
        <i val="0"/>
        <color rgb="FFFF0000"/>
      </font>
    </dxf>
    <dxf>
      <fill>
        <patternFill>
          <bgColor theme="0" tint="-4.9989318521683403E-2"/>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patternType="none">
          <bgColor indexed="65"/>
        </patternFill>
      </fill>
    </dxf>
    <dxf>
      <fill>
        <patternFill>
          <bgColor rgb="FFFFFF00"/>
        </patternFill>
      </fill>
    </dxf>
    <dxf>
      <font>
        <b val="0"/>
        <i val="0"/>
        <color auto="1"/>
      </font>
      <fill>
        <patternFill>
          <bgColor rgb="FFFF0000"/>
        </patternFill>
      </fill>
    </dxf>
    <dxf>
      <fill>
        <patternFill patternType="none">
          <bgColor indexed="65"/>
        </patternFill>
      </fill>
    </dxf>
    <dxf>
      <fill>
        <patternFill>
          <bgColor rgb="FFFFFF00"/>
        </patternFill>
      </fill>
    </dxf>
    <dxf>
      <font>
        <b val="0"/>
        <i val="0"/>
        <color auto="1"/>
      </font>
      <fill>
        <patternFill>
          <bgColor rgb="FFFF0000"/>
        </patternFill>
      </fill>
    </dxf>
    <dxf>
      <fill>
        <patternFill patternType="none">
          <bgColor indexed="65"/>
        </patternFill>
      </fill>
    </dxf>
    <dxf>
      <fill>
        <patternFill>
          <bgColor rgb="FFFFFF00"/>
        </patternFill>
      </fill>
    </dxf>
    <dxf>
      <font>
        <b val="0"/>
        <i val="0"/>
        <color auto="1"/>
      </font>
      <fill>
        <patternFill>
          <bgColor rgb="FFFF0000"/>
        </patternFill>
      </fill>
    </dxf>
    <dxf>
      <fill>
        <patternFill patternType="none">
          <bgColor indexed="65"/>
        </patternFill>
      </fill>
    </dxf>
    <dxf>
      <fill>
        <patternFill>
          <bgColor rgb="FFFFFF00"/>
        </patternFill>
      </fill>
    </dxf>
    <dxf>
      <font>
        <b val="0"/>
        <i val="0"/>
        <color auto="1"/>
      </font>
      <fill>
        <patternFill>
          <bgColor rgb="FFFF0000"/>
        </patternFill>
      </fill>
    </dxf>
    <dxf>
      <fill>
        <patternFill>
          <bgColor rgb="FFFFFF00"/>
        </patternFill>
      </fill>
    </dxf>
    <dxf>
      <font>
        <b val="0"/>
        <i val="0"/>
        <color auto="1"/>
      </font>
      <fill>
        <patternFill>
          <bgColor rgb="FFFF0000"/>
        </patternFill>
      </fill>
    </dxf>
    <dxf>
      <fill>
        <patternFill patternType="none">
          <bgColor indexed="65"/>
        </patternFill>
      </fill>
    </dxf>
    <dxf>
      <font>
        <b val="0"/>
        <i val="0"/>
        <color auto="1"/>
      </font>
      <fill>
        <patternFill>
          <bgColor rgb="FFFF0000"/>
        </patternFill>
      </fill>
    </dxf>
    <dxf>
      <fill>
        <patternFill patternType="none">
          <bgColor indexed="65"/>
        </patternFill>
      </fill>
    </dxf>
    <dxf>
      <fill>
        <patternFill>
          <bgColor rgb="FFFFFF00"/>
        </patternFill>
      </fill>
    </dxf>
    <dxf>
      <fill>
        <patternFill>
          <bgColor rgb="FFFFFF00"/>
        </patternFill>
      </fill>
    </dxf>
    <dxf>
      <font>
        <b val="0"/>
        <i val="0"/>
        <color auto="1"/>
      </font>
      <fill>
        <patternFill>
          <bgColor rgb="FFFF0000"/>
        </patternFill>
      </fill>
    </dxf>
    <dxf>
      <fill>
        <patternFill patternType="none">
          <bgColor indexed="65"/>
        </patternFill>
      </fill>
    </dxf>
    <dxf>
      <fill>
        <patternFill>
          <bgColor rgb="FFFFFF00"/>
        </patternFill>
      </fill>
    </dxf>
    <dxf>
      <font>
        <b val="0"/>
        <i val="0"/>
        <strike val="0"/>
        <color auto="1"/>
      </font>
      <fill>
        <patternFill>
          <bgColor rgb="FFFF0000"/>
        </patternFill>
      </fill>
    </dxf>
    <dxf>
      <fill>
        <patternFill patternType="none">
          <bgColor indexed="65"/>
        </patternFill>
      </fill>
    </dxf>
    <dxf>
      <font>
        <b val="0"/>
        <i val="0"/>
        <color auto="1"/>
      </font>
      <fill>
        <patternFill>
          <bgColor rgb="FFFF0000"/>
        </patternFill>
      </fill>
    </dxf>
    <dxf>
      <fill>
        <patternFill patternType="none">
          <bgColor indexed="65"/>
        </patternFill>
      </fill>
    </dxf>
    <dxf>
      <fill>
        <patternFill>
          <bgColor rgb="FFFFFF00"/>
        </patternFill>
      </fill>
    </dxf>
    <dxf>
      <fill>
        <patternFill patternType="none">
          <bgColor indexed="65"/>
        </patternFill>
      </fill>
    </dxf>
    <dxf>
      <font>
        <b val="0"/>
        <i val="0"/>
        <strike val="0"/>
        <color auto="1"/>
      </font>
      <fill>
        <patternFill>
          <bgColor rgb="FFFF0000"/>
        </patternFill>
      </fill>
    </dxf>
    <dxf>
      <fill>
        <patternFill patternType="solid">
          <bgColor rgb="FFFFFF00"/>
        </patternFill>
      </fill>
    </dxf>
    <dxf>
      <fill>
        <patternFill>
          <bgColor rgb="FFFFFF00"/>
        </patternFill>
      </fill>
    </dxf>
    <dxf>
      <font>
        <color rgb="FFFF0000"/>
      </font>
    </dxf>
    <dxf>
      <fill>
        <patternFill>
          <bgColor rgb="FFFFFF00"/>
        </patternFill>
      </fill>
    </dxf>
    <dxf>
      <fill>
        <patternFill>
          <bgColor rgb="FFFFFF00"/>
        </patternFill>
      </fill>
    </dxf>
    <dxf>
      <fill>
        <patternFill>
          <bgColor rgb="FFFFFF00"/>
        </patternFill>
      </fill>
    </dxf>
    <dxf>
      <fill>
        <patternFill>
          <bgColor theme="0" tint="-0.34998626667073579"/>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b/>
        <i val="0"/>
        <color rgb="FFFF0000"/>
      </font>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00"/>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theme="0" tint="-0.34998626667073579"/>
        </patternFill>
      </fill>
    </dxf>
    <dxf>
      <font>
        <color auto="1"/>
      </font>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ont>
        <b/>
        <i val="0"/>
        <color rgb="FFFF0000"/>
      </font>
    </dxf>
    <dxf>
      <fill>
        <patternFill>
          <bgColor theme="0" tint="-4.9989318521683403E-2"/>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patternType="none">
          <bgColor indexed="65"/>
        </patternFill>
      </fill>
    </dxf>
    <dxf>
      <fill>
        <patternFill>
          <bgColor rgb="FFFFFF00"/>
        </patternFill>
      </fill>
    </dxf>
    <dxf>
      <font>
        <b val="0"/>
        <i val="0"/>
        <color auto="1"/>
      </font>
      <fill>
        <patternFill>
          <bgColor rgb="FFFF0000"/>
        </patternFill>
      </fill>
    </dxf>
    <dxf>
      <fill>
        <patternFill patternType="none">
          <bgColor indexed="65"/>
        </patternFill>
      </fill>
    </dxf>
    <dxf>
      <fill>
        <patternFill>
          <bgColor rgb="FFFFFF00"/>
        </patternFill>
      </fill>
    </dxf>
    <dxf>
      <font>
        <b val="0"/>
        <i val="0"/>
        <color auto="1"/>
      </font>
      <fill>
        <patternFill>
          <bgColor rgb="FFFF0000"/>
        </patternFill>
      </fill>
    </dxf>
    <dxf>
      <fill>
        <patternFill patternType="none">
          <bgColor indexed="65"/>
        </patternFill>
      </fill>
    </dxf>
    <dxf>
      <fill>
        <patternFill>
          <bgColor rgb="FFFFFF00"/>
        </patternFill>
      </fill>
    </dxf>
    <dxf>
      <font>
        <b val="0"/>
        <i val="0"/>
        <color auto="1"/>
      </font>
      <fill>
        <patternFill>
          <bgColor rgb="FFFF0000"/>
        </patternFill>
      </fill>
    </dxf>
    <dxf>
      <fill>
        <patternFill patternType="none">
          <bgColor indexed="65"/>
        </patternFill>
      </fill>
    </dxf>
    <dxf>
      <fill>
        <patternFill>
          <bgColor rgb="FFFFFF00"/>
        </patternFill>
      </fill>
    </dxf>
    <dxf>
      <font>
        <b val="0"/>
        <i val="0"/>
        <color auto="1"/>
      </font>
      <fill>
        <patternFill>
          <bgColor rgb="FFFF0000"/>
        </patternFill>
      </fill>
    </dxf>
    <dxf>
      <fill>
        <patternFill>
          <bgColor rgb="FFFFFF00"/>
        </patternFill>
      </fill>
    </dxf>
    <dxf>
      <font>
        <b val="0"/>
        <i val="0"/>
        <color auto="1"/>
      </font>
      <fill>
        <patternFill>
          <bgColor rgb="FFFF0000"/>
        </patternFill>
      </fill>
    </dxf>
    <dxf>
      <fill>
        <patternFill patternType="none">
          <bgColor indexed="65"/>
        </patternFill>
      </fill>
    </dxf>
    <dxf>
      <font>
        <b val="0"/>
        <i val="0"/>
        <color auto="1"/>
      </font>
      <fill>
        <patternFill>
          <bgColor rgb="FFFF0000"/>
        </patternFill>
      </fill>
    </dxf>
    <dxf>
      <fill>
        <patternFill patternType="none">
          <bgColor indexed="65"/>
        </patternFill>
      </fill>
    </dxf>
    <dxf>
      <fill>
        <patternFill>
          <bgColor rgb="FFFFFF00"/>
        </patternFill>
      </fill>
    </dxf>
    <dxf>
      <fill>
        <patternFill>
          <bgColor rgb="FFFFFF00"/>
        </patternFill>
      </fill>
    </dxf>
    <dxf>
      <font>
        <b val="0"/>
        <i val="0"/>
        <color auto="1"/>
      </font>
      <fill>
        <patternFill>
          <bgColor rgb="FFFF0000"/>
        </patternFill>
      </fill>
    </dxf>
    <dxf>
      <fill>
        <patternFill patternType="none">
          <bgColor indexed="65"/>
        </patternFill>
      </fill>
    </dxf>
    <dxf>
      <fill>
        <patternFill>
          <bgColor rgb="FFFFFF00"/>
        </patternFill>
      </fill>
    </dxf>
    <dxf>
      <font>
        <b val="0"/>
        <i val="0"/>
        <strike val="0"/>
        <color auto="1"/>
      </font>
      <fill>
        <patternFill>
          <bgColor rgb="FFFF0000"/>
        </patternFill>
      </fill>
    </dxf>
    <dxf>
      <fill>
        <patternFill patternType="none">
          <bgColor indexed="65"/>
        </patternFill>
      </fill>
    </dxf>
    <dxf>
      <font>
        <b val="0"/>
        <i val="0"/>
        <color auto="1"/>
      </font>
      <fill>
        <patternFill>
          <bgColor rgb="FFFF0000"/>
        </patternFill>
      </fill>
    </dxf>
    <dxf>
      <fill>
        <patternFill patternType="none">
          <bgColor indexed="65"/>
        </patternFill>
      </fill>
    </dxf>
    <dxf>
      <fill>
        <patternFill>
          <bgColor rgb="FFFFFF00"/>
        </patternFill>
      </fill>
    </dxf>
    <dxf>
      <fill>
        <patternFill patternType="none">
          <bgColor indexed="65"/>
        </patternFill>
      </fill>
    </dxf>
    <dxf>
      <font>
        <b val="0"/>
        <i val="0"/>
        <strike val="0"/>
        <color auto="1"/>
      </font>
      <fill>
        <patternFill>
          <bgColor rgb="FFFF0000"/>
        </patternFill>
      </fill>
    </dxf>
    <dxf>
      <fill>
        <patternFill patternType="solid">
          <bgColor rgb="FFFFFF00"/>
        </patternFill>
      </fill>
    </dxf>
    <dxf>
      <fill>
        <patternFill>
          <bgColor rgb="FFFFFF00"/>
        </patternFill>
      </fill>
    </dxf>
    <dxf>
      <font>
        <color rgb="FFFF0000"/>
      </font>
    </dxf>
    <dxf>
      <fill>
        <patternFill>
          <bgColor rgb="FFFFFF00"/>
        </patternFill>
      </fill>
    </dxf>
    <dxf>
      <fill>
        <patternFill>
          <bgColor rgb="FFFFFF00"/>
        </patternFill>
      </fill>
    </dxf>
    <dxf>
      <fill>
        <patternFill>
          <bgColor rgb="FFFFFF00"/>
        </patternFill>
      </fill>
    </dxf>
    <dxf>
      <fill>
        <patternFill>
          <bgColor theme="0" tint="-0.34998626667073579"/>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b/>
        <i val="0"/>
        <color rgb="FFFF0000"/>
      </font>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00"/>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theme="0" tint="-0.34998626667073579"/>
        </patternFill>
      </fill>
    </dxf>
    <dxf>
      <font>
        <color auto="1"/>
      </font>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ont>
        <b/>
        <i val="0"/>
        <color rgb="FFFF0000"/>
      </font>
    </dxf>
    <dxf>
      <fill>
        <patternFill>
          <bgColor theme="0" tint="-4.9989318521683403E-2"/>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patternType="none">
          <bgColor indexed="65"/>
        </patternFill>
      </fill>
    </dxf>
    <dxf>
      <fill>
        <patternFill>
          <bgColor rgb="FFFFFF00"/>
        </patternFill>
      </fill>
    </dxf>
    <dxf>
      <font>
        <b val="0"/>
        <i val="0"/>
        <color auto="1"/>
      </font>
      <fill>
        <patternFill>
          <bgColor rgb="FFFF0000"/>
        </patternFill>
      </fill>
    </dxf>
    <dxf>
      <fill>
        <patternFill patternType="none">
          <bgColor indexed="65"/>
        </patternFill>
      </fill>
    </dxf>
    <dxf>
      <fill>
        <patternFill>
          <bgColor rgb="FFFFFF00"/>
        </patternFill>
      </fill>
    </dxf>
    <dxf>
      <font>
        <b val="0"/>
        <i val="0"/>
        <color auto="1"/>
      </font>
      <fill>
        <patternFill>
          <bgColor rgb="FFFF0000"/>
        </patternFill>
      </fill>
    </dxf>
    <dxf>
      <fill>
        <patternFill patternType="none">
          <bgColor indexed="65"/>
        </patternFill>
      </fill>
    </dxf>
    <dxf>
      <fill>
        <patternFill>
          <bgColor rgb="FFFFFF00"/>
        </patternFill>
      </fill>
    </dxf>
    <dxf>
      <font>
        <b val="0"/>
        <i val="0"/>
        <color auto="1"/>
      </font>
      <fill>
        <patternFill>
          <bgColor rgb="FFFF0000"/>
        </patternFill>
      </fill>
    </dxf>
    <dxf>
      <fill>
        <patternFill patternType="none">
          <bgColor indexed="65"/>
        </patternFill>
      </fill>
    </dxf>
    <dxf>
      <fill>
        <patternFill>
          <bgColor rgb="FFFFFF00"/>
        </patternFill>
      </fill>
    </dxf>
    <dxf>
      <font>
        <b val="0"/>
        <i val="0"/>
        <color auto="1"/>
      </font>
      <fill>
        <patternFill>
          <bgColor rgb="FFFF0000"/>
        </patternFill>
      </fill>
    </dxf>
    <dxf>
      <fill>
        <patternFill>
          <bgColor rgb="FFFFFF00"/>
        </patternFill>
      </fill>
    </dxf>
    <dxf>
      <font>
        <b val="0"/>
        <i val="0"/>
        <color auto="1"/>
      </font>
      <fill>
        <patternFill>
          <bgColor rgb="FFFF0000"/>
        </patternFill>
      </fill>
    </dxf>
    <dxf>
      <fill>
        <patternFill patternType="none">
          <bgColor indexed="65"/>
        </patternFill>
      </fill>
    </dxf>
    <dxf>
      <font>
        <b val="0"/>
        <i val="0"/>
        <color auto="1"/>
      </font>
      <fill>
        <patternFill>
          <bgColor rgb="FFFF0000"/>
        </patternFill>
      </fill>
    </dxf>
    <dxf>
      <fill>
        <patternFill patternType="none">
          <bgColor indexed="65"/>
        </patternFill>
      </fill>
    </dxf>
    <dxf>
      <fill>
        <patternFill>
          <bgColor rgb="FFFFFF00"/>
        </patternFill>
      </fill>
    </dxf>
    <dxf>
      <fill>
        <patternFill>
          <bgColor rgb="FFFFFF00"/>
        </patternFill>
      </fill>
    </dxf>
    <dxf>
      <font>
        <b val="0"/>
        <i val="0"/>
        <color auto="1"/>
      </font>
      <fill>
        <patternFill>
          <bgColor rgb="FFFF0000"/>
        </patternFill>
      </fill>
    </dxf>
    <dxf>
      <fill>
        <patternFill patternType="none">
          <bgColor indexed="65"/>
        </patternFill>
      </fill>
    </dxf>
    <dxf>
      <fill>
        <patternFill>
          <bgColor rgb="FFFFFF00"/>
        </patternFill>
      </fill>
    </dxf>
    <dxf>
      <font>
        <b val="0"/>
        <i val="0"/>
        <strike val="0"/>
        <color auto="1"/>
      </font>
      <fill>
        <patternFill>
          <bgColor rgb="FFFF0000"/>
        </patternFill>
      </fill>
    </dxf>
    <dxf>
      <fill>
        <patternFill patternType="none">
          <bgColor indexed="65"/>
        </patternFill>
      </fill>
    </dxf>
    <dxf>
      <font>
        <b val="0"/>
        <i val="0"/>
        <color auto="1"/>
      </font>
      <fill>
        <patternFill>
          <bgColor rgb="FFFF0000"/>
        </patternFill>
      </fill>
    </dxf>
    <dxf>
      <fill>
        <patternFill patternType="none">
          <bgColor indexed="65"/>
        </patternFill>
      </fill>
    </dxf>
    <dxf>
      <fill>
        <patternFill>
          <bgColor rgb="FFFFFF00"/>
        </patternFill>
      </fill>
    </dxf>
    <dxf>
      <fill>
        <patternFill patternType="none">
          <bgColor indexed="65"/>
        </patternFill>
      </fill>
    </dxf>
    <dxf>
      <font>
        <b val="0"/>
        <i val="0"/>
        <strike val="0"/>
        <color auto="1"/>
      </font>
      <fill>
        <patternFill>
          <bgColor rgb="FFFF0000"/>
        </patternFill>
      </fill>
    </dxf>
    <dxf>
      <fill>
        <patternFill patternType="solid">
          <bgColor rgb="FFFFFF00"/>
        </patternFill>
      </fill>
    </dxf>
    <dxf>
      <fill>
        <patternFill>
          <bgColor rgb="FFFFFF00"/>
        </patternFill>
      </fill>
    </dxf>
    <dxf>
      <font>
        <color rgb="FFFF0000"/>
      </font>
    </dxf>
    <dxf>
      <fill>
        <patternFill>
          <bgColor rgb="FFFFFF00"/>
        </patternFill>
      </fill>
    </dxf>
    <dxf>
      <fill>
        <patternFill>
          <bgColor rgb="FFFFFF00"/>
        </patternFill>
      </fill>
    </dxf>
    <dxf>
      <fill>
        <patternFill>
          <bgColor rgb="FFFFFF00"/>
        </patternFill>
      </fill>
    </dxf>
    <dxf>
      <fill>
        <patternFill>
          <bgColor theme="0" tint="-0.34998626667073579"/>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b/>
        <i val="0"/>
        <color rgb="FFFF0000"/>
      </font>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00"/>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theme="0" tint="-0.34998626667073579"/>
        </patternFill>
      </fill>
    </dxf>
    <dxf>
      <font>
        <color auto="1"/>
      </font>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ont>
        <b/>
        <i val="0"/>
        <color rgb="FFFF0000"/>
      </font>
    </dxf>
    <dxf>
      <fill>
        <patternFill>
          <bgColor theme="0" tint="-4.9989318521683403E-2"/>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patternType="none">
          <bgColor indexed="65"/>
        </patternFill>
      </fill>
    </dxf>
    <dxf>
      <fill>
        <patternFill>
          <bgColor rgb="FFFFFF00"/>
        </patternFill>
      </fill>
    </dxf>
    <dxf>
      <font>
        <b val="0"/>
        <i val="0"/>
        <color auto="1"/>
      </font>
      <fill>
        <patternFill>
          <bgColor rgb="FFFF0000"/>
        </patternFill>
      </fill>
    </dxf>
    <dxf>
      <fill>
        <patternFill patternType="none">
          <bgColor indexed="65"/>
        </patternFill>
      </fill>
    </dxf>
    <dxf>
      <fill>
        <patternFill>
          <bgColor rgb="FFFFFF00"/>
        </patternFill>
      </fill>
    </dxf>
    <dxf>
      <font>
        <b val="0"/>
        <i val="0"/>
        <color auto="1"/>
      </font>
      <fill>
        <patternFill>
          <bgColor rgb="FFFF0000"/>
        </patternFill>
      </fill>
    </dxf>
    <dxf>
      <fill>
        <patternFill patternType="none">
          <bgColor indexed="65"/>
        </patternFill>
      </fill>
    </dxf>
    <dxf>
      <fill>
        <patternFill>
          <bgColor rgb="FFFFFF00"/>
        </patternFill>
      </fill>
    </dxf>
    <dxf>
      <font>
        <b val="0"/>
        <i val="0"/>
        <color auto="1"/>
      </font>
      <fill>
        <patternFill>
          <bgColor rgb="FFFF0000"/>
        </patternFill>
      </fill>
    </dxf>
    <dxf>
      <fill>
        <patternFill patternType="none">
          <bgColor indexed="65"/>
        </patternFill>
      </fill>
    </dxf>
    <dxf>
      <fill>
        <patternFill>
          <bgColor rgb="FFFFFF00"/>
        </patternFill>
      </fill>
    </dxf>
    <dxf>
      <font>
        <b val="0"/>
        <i val="0"/>
        <color auto="1"/>
      </font>
      <fill>
        <patternFill>
          <bgColor rgb="FFFF0000"/>
        </patternFill>
      </fill>
    </dxf>
    <dxf>
      <fill>
        <patternFill>
          <bgColor rgb="FFFFFF00"/>
        </patternFill>
      </fill>
    </dxf>
    <dxf>
      <font>
        <b val="0"/>
        <i val="0"/>
        <color auto="1"/>
      </font>
      <fill>
        <patternFill>
          <bgColor rgb="FFFF0000"/>
        </patternFill>
      </fill>
    </dxf>
    <dxf>
      <fill>
        <patternFill patternType="none">
          <bgColor indexed="65"/>
        </patternFill>
      </fill>
    </dxf>
    <dxf>
      <font>
        <b val="0"/>
        <i val="0"/>
        <color auto="1"/>
      </font>
      <fill>
        <patternFill>
          <bgColor rgb="FFFF0000"/>
        </patternFill>
      </fill>
    </dxf>
    <dxf>
      <fill>
        <patternFill patternType="none">
          <bgColor indexed="65"/>
        </patternFill>
      </fill>
    </dxf>
    <dxf>
      <fill>
        <patternFill>
          <bgColor rgb="FFFFFF00"/>
        </patternFill>
      </fill>
    </dxf>
    <dxf>
      <fill>
        <patternFill>
          <bgColor rgb="FFFFFF00"/>
        </patternFill>
      </fill>
    </dxf>
    <dxf>
      <font>
        <b val="0"/>
        <i val="0"/>
        <color auto="1"/>
      </font>
      <fill>
        <patternFill>
          <bgColor rgb="FFFF0000"/>
        </patternFill>
      </fill>
    </dxf>
    <dxf>
      <fill>
        <patternFill patternType="none">
          <bgColor indexed="65"/>
        </patternFill>
      </fill>
    </dxf>
    <dxf>
      <fill>
        <patternFill>
          <bgColor rgb="FFFFFF00"/>
        </patternFill>
      </fill>
    </dxf>
    <dxf>
      <font>
        <b val="0"/>
        <i val="0"/>
        <strike val="0"/>
        <color auto="1"/>
      </font>
      <fill>
        <patternFill>
          <bgColor rgb="FFFF0000"/>
        </patternFill>
      </fill>
    </dxf>
    <dxf>
      <fill>
        <patternFill patternType="none">
          <bgColor indexed="65"/>
        </patternFill>
      </fill>
    </dxf>
    <dxf>
      <font>
        <b val="0"/>
        <i val="0"/>
        <color auto="1"/>
      </font>
      <fill>
        <patternFill>
          <bgColor rgb="FFFF0000"/>
        </patternFill>
      </fill>
    </dxf>
    <dxf>
      <fill>
        <patternFill patternType="none">
          <bgColor indexed="65"/>
        </patternFill>
      </fill>
    </dxf>
    <dxf>
      <fill>
        <patternFill>
          <bgColor rgb="FFFFFF00"/>
        </patternFill>
      </fill>
    </dxf>
    <dxf>
      <fill>
        <patternFill patternType="none">
          <bgColor indexed="65"/>
        </patternFill>
      </fill>
    </dxf>
    <dxf>
      <font>
        <b val="0"/>
        <i val="0"/>
        <strike val="0"/>
        <color auto="1"/>
      </font>
      <fill>
        <patternFill>
          <bgColor rgb="FFFF0000"/>
        </patternFill>
      </fill>
    </dxf>
    <dxf>
      <fill>
        <patternFill patternType="solid">
          <bgColor rgb="FFFFFF00"/>
        </patternFill>
      </fill>
    </dxf>
    <dxf>
      <fill>
        <patternFill>
          <bgColor rgb="FFFFFF00"/>
        </patternFill>
      </fill>
    </dxf>
    <dxf>
      <font>
        <color rgb="FFFF0000"/>
      </font>
    </dxf>
    <dxf>
      <fill>
        <patternFill>
          <bgColor rgb="FFFFFF00"/>
        </patternFill>
      </fill>
    </dxf>
    <dxf>
      <fill>
        <patternFill>
          <bgColor rgb="FFFFFF00"/>
        </patternFill>
      </fill>
    </dxf>
    <dxf>
      <fill>
        <patternFill>
          <bgColor rgb="FFFFFF00"/>
        </patternFill>
      </fill>
    </dxf>
    <dxf>
      <fill>
        <patternFill>
          <bgColor theme="0" tint="-0.34998626667073579"/>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b/>
        <i val="0"/>
        <color rgb="FFFF0000"/>
      </font>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00"/>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theme="0" tint="-0.34998626667073579"/>
        </patternFill>
      </fill>
    </dxf>
    <dxf>
      <font>
        <color auto="1"/>
      </font>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ont>
        <b/>
        <i val="0"/>
        <color rgb="FFFF0000"/>
      </font>
    </dxf>
    <dxf>
      <fill>
        <patternFill>
          <bgColor theme="0" tint="-4.9989318521683403E-2"/>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patternType="none">
          <bgColor indexed="65"/>
        </patternFill>
      </fill>
    </dxf>
    <dxf>
      <fill>
        <patternFill>
          <bgColor rgb="FFFFFF00"/>
        </patternFill>
      </fill>
    </dxf>
    <dxf>
      <font>
        <b val="0"/>
        <i val="0"/>
        <color auto="1"/>
      </font>
      <fill>
        <patternFill>
          <bgColor rgb="FFFF0000"/>
        </patternFill>
      </fill>
    </dxf>
    <dxf>
      <fill>
        <patternFill patternType="none">
          <bgColor indexed="65"/>
        </patternFill>
      </fill>
    </dxf>
    <dxf>
      <fill>
        <patternFill>
          <bgColor rgb="FFFFFF00"/>
        </patternFill>
      </fill>
    </dxf>
    <dxf>
      <font>
        <b val="0"/>
        <i val="0"/>
        <color auto="1"/>
      </font>
      <fill>
        <patternFill>
          <bgColor rgb="FFFF0000"/>
        </patternFill>
      </fill>
    </dxf>
    <dxf>
      <fill>
        <patternFill patternType="none">
          <bgColor indexed="65"/>
        </patternFill>
      </fill>
    </dxf>
    <dxf>
      <fill>
        <patternFill>
          <bgColor rgb="FFFFFF00"/>
        </patternFill>
      </fill>
    </dxf>
    <dxf>
      <font>
        <b val="0"/>
        <i val="0"/>
        <color auto="1"/>
      </font>
      <fill>
        <patternFill>
          <bgColor rgb="FFFF0000"/>
        </patternFill>
      </fill>
    </dxf>
    <dxf>
      <fill>
        <patternFill patternType="none">
          <bgColor indexed="65"/>
        </patternFill>
      </fill>
    </dxf>
    <dxf>
      <fill>
        <patternFill>
          <bgColor rgb="FFFFFF00"/>
        </patternFill>
      </fill>
    </dxf>
    <dxf>
      <font>
        <b val="0"/>
        <i val="0"/>
        <color auto="1"/>
      </font>
      <fill>
        <patternFill>
          <bgColor rgb="FFFF0000"/>
        </patternFill>
      </fill>
    </dxf>
    <dxf>
      <fill>
        <patternFill>
          <bgColor rgb="FFFFFF00"/>
        </patternFill>
      </fill>
    </dxf>
    <dxf>
      <font>
        <b val="0"/>
        <i val="0"/>
        <color auto="1"/>
      </font>
      <fill>
        <patternFill>
          <bgColor rgb="FFFF0000"/>
        </patternFill>
      </fill>
    </dxf>
    <dxf>
      <fill>
        <patternFill patternType="none">
          <bgColor indexed="65"/>
        </patternFill>
      </fill>
    </dxf>
    <dxf>
      <font>
        <b val="0"/>
        <i val="0"/>
        <color auto="1"/>
      </font>
      <fill>
        <patternFill>
          <bgColor rgb="FFFF0000"/>
        </patternFill>
      </fill>
    </dxf>
    <dxf>
      <fill>
        <patternFill patternType="none">
          <bgColor indexed="65"/>
        </patternFill>
      </fill>
    </dxf>
    <dxf>
      <fill>
        <patternFill>
          <bgColor rgb="FFFFFF00"/>
        </patternFill>
      </fill>
    </dxf>
    <dxf>
      <fill>
        <patternFill>
          <bgColor rgb="FFFFFF00"/>
        </patternFill>
      </fill>
    </dxf>
    <dxf>
      <font>
        <b val="0"/>
        <i val="0"/>
        <color auto="1"/>
      </font>
      <fill>
        <patternFill>
          <bgColor rgb="FFFF0000"/>
        </patternFill>
      </fill>
    </dxf>
    <dxf>
      <fill>
        <patternFill patternType="none">
          <bgColor indexed="65"/>
        </patternFill>
      </fill>
    </dxf>
    <dxf>
      <fill>
        <patternFill>
          <bgColor rgb="FFFFFF00"/>
        </patternFill>
      </fill>
    </dxf>
    <dxf>
      <font>
        <b val="0"/>
        <i val="0"/>
        <strike val="0"/>
        <color auto="1"/>
      </font>
      <fill>
        <patternFill>
          <bgColor rgb="FFFF0000"/>
        </patternFill>
      </fill>
    </dxf>
    <dxf>
      <fill>
        <patternFill patternType="none">
          <bgColor indexed="65"/>
        </patternFill>
      </fill>
    </dxf>
    <dxf>
      <font>
        <b val="0"/>
        <i val="0"/>
        <color auto="1"/>
      </font>
      <fill>
        <patternFill>
          <bgColor rgb="FFFF0000"/>
        </patternFill>
      </fill>
    </dxf>
    <dxf>
      <fill>
        <patternFill patternType="none">
          <bgColor indexed="65"/>
        </patternFill>
      </fill>
    </dxf>
    <dxf>
      <fill>
        <patternFill>
          <bgColor rgb="FFFFFF00"/>
        </patternFill>
      </fill>
    </dxf>
    <dxf>
      <fill>
        <patternFill patternType="none">
          <bgColor indexed="65"/>
        </patternFill>
      </fill>
    </dxf>
    <dxf>
      <font>
        <b val="0"/>
        <i val="0"/>
        <strike val="0"/>
        <color auto="1"/>
      </font>
      <fill>
        <patternFill>
          <bgColor rgb="FFFF0000"/>
        </patternFill>
      </fill>
    </dxf>
    <dxf>
      <fill>
        <patternFill patternType="solid">
          <bgColor rgb="FFFFFF00"/>
        </patternFill>
      </fill>
    </dxf>
    <dxf>
      <fill>
        <patternFill>
          <bgColor rgb="FFFFFF00"/>
        </patternFill>
      </fill>
    </dxf>
    <dxf>
      <font>
        <color rgb="FFFF0000"/>
      </font>
    </dxf>
    <dxf>
      <fill>
        <patternFill>
          <bgColor rgb="FFFFFF00"/>
        </patternFill>
      </fill>
    </dxf>
    <dxf>
      <fill>
        <patternFill>
          <bgColor rgb="FFFFFF00"/>
        </patternFill>
      </fill>
    </dxf>
    <dxf>
      <fill>
        <patternFill>
          <bgColor rgb="FFFFFF00"/>
        </patternFill>
      </fill>
    </dxf>
    <dxf>
      <fill>
        <patternFill>
          <bgColor theme="0" tint="-0.34998626667073579"/>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b/>
        <i val="0"/>
        <color rgb="FFFF0000"/>
      </font>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00"/>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theme="0" tint="-0.34998626667073579"/>
        </patternFill>
      </fill>
    </dxf>
    <dxf>
      <font>
        <color auto="1"/>
      </font>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ont>
        <b/>
        <i val="0"/>
        <color rgb="FFFF0000"/>
      </font>
    </dxf>
    <dxf>
      <fill>
        <patternFill>
          <bgColor theme="0" tint="-4.9989318521683403E-2"/>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patternType="none">
          <bgColor indexed="65"/>
        </patternFill>
      </fill>
    </dxf>
    <dxf>
      <fill>
        <patternFill>
          <bgColor rgb="FFFFFF00"/>
        </patternFill>
      </fill>
    </dxf>
    <dxf>
      <font>
        <b val="0"/>
        <i val="0"/>
        <color auto="1"/>
      </font>
      <fill>
        <patternFill>
          <bgColor rgb="FFFF0000"/>
        </patternFill>
      </fill>
    </dxf>
    <dxf>
      <fill>
        <patternFill patternType="none">
          <bgColor indexed="65"/>
        </patternFill>
      </fill>
    </dxf>
    <dxf>
      <fill>
        <patternFill>
          <bgColor rgb="FFFFFF00"/>
        </patternFill>
      </fill>
    </dxf>
    <dxf>
      <font>
        <b val="0"/>
        <i val="0"/>
        <color auto="1"/>
      </font>
      <fill>
        <patternFill>
          <bgColor rgb="FFFF0000"/>
        </patternFill>
      </fill>
    </dxf>
    <dxf>
      <fill>
        <patternFill patternType="none">
          <bgColor indexed="65"/>
        </patternFill>
      </fill>
    </dxf>
    <dxf>
      <fill>
        <patternFill>
          <bgColor rgb="FFFFFF00"/>
        </patternFill>
      </fill>
    </dxf>
    <dxf>
      <font>
        <b val="0"/>
        <i val="0"/>
        <color auto="1"/>
      </font>
      <fill>
        <patternFill>
          <bgColor rgb="FFFF0000"/>
        </patternFill>
      </fill>
    </dxf>
    <dxf>
      <fill>
        <patternFill patternType="none">
          <bgColor indexed="65"/>
        </patternFill>
      </fill>
    </dxf>
    <dxf>
      <fill>
        <patternFill>
          <bgColor rgb="FFFFFF00"/>
        </patternFill>
      </fill>
    </dxf>
    <dxf>
      <font>
        <b val="0"/>
        <i val="0"/>
        <color auto="1"/>
      </font>
      <fill>
        <patternFill>
          <bgColor rgb="FFFF0000"/>
        </patternFill>
      </fill>
    </dxf>
    <dxf>
      <fill>
        <patternFill>
          <bgColor rgb="FFFFFF00"/>
        </patternFill>
      </fill>
    </dxf>
    <dxf>
      <font>
        <b val="0"/>
        <i val="0"/>
        <color auto="1"/>
      </font>
      <fill>
        <patternFill>
          <bgColor rgb="FFFF0000"/>
        </patternFill>
      </fill>
    </dxf>
    <dxf>
      <fill>
        <patternFill patternType="none">
          <bgColor indexed="65"/>
        </patternFill>
      </fill>
    </dxf>
    <dxf>
      <font>
        <b val="0"/>
        <i val="0"/>
        <color auto="1"/>
      </font>
      <fill>
        <patternFill>
          <bgColor rgb="FFFF0000"/>
        </patternFill>
      </fill>
    </dxf>
    <dxf>
      <fill>
        <patternFill patternType="none">
          <bgColor indexed="65"/>
        </patternFill>
      </fill>
    </dxf>
    <dxf>
      <fill>
        <patternFill>
          <bgColor rgb="FFFFFF00"/>
        </patternFill>
      </fill>
    </dxf>
    <dxf>
      <fill>
        <patternFill>
          <bgColor rgb="FFFFFF00"/>
        </patternFill>
      </fill>
    </dxf>
    <dxf>
      <font>
        <b val="0"/>
        <i val="0"/>
        <color auto="1"/>
      </font>
      <fill>
        <patternFill>
          <bgColor rgb="FFFF0000"/>
        </patternFill>
      </fill>
    </dxf>
    <dxf>
      <fill>
        <patternFill patternType="none">
          <bgColor indexed="65"/>
        </patternFill>
      </fill>
    </dxf>
    <dxf>
      <fill>
        <patternFill>
          <bgColor rgb="FFFFFF00"/>
        </patternFill>
      </fill>
    </dxf>
    <dxf>
      <font>
        <b val="0"/>
        <i val="0"/>
        <strike val="0"/>
        <color auto="1"/>
      </font>
      <fill>
        <patternFill>
          <bgColor rgb="FFFF0000"/>
        </patternFill>
      </fill>
    </dxf>
    <dxf>
      <fill>
        <patternFill patternType="none">
          <bgColor indexed="65"/>
        </patternFill>
      </fill>
    </dxf>
    <dxf>
      <font>
        <b val="0"/>
        <i val="0"/>
        <color auto="1"/>
      </font>
      <fill>
        <patternFill>
          <bgColor rgb="FFFF0000"/>
        </patternFill>
      </fill>
    </dxf>
    <dxf>
      <fill>
        <patternFill patternType="none">
          <bgColor indexed="65"/>
        </patternFill>
      </fill>
    </dxf>
    <dxf>
      <fill>
        <patternFill>
          <bgColor rgb="FFFFFF00"/>
        </patternFill>
      </fill>
    </dxf>
    <dxf>
      <fill>
        <patternFill patternType="none">
          <bgColor indexed="65"/>
        </patternFill>
      </fill>
    </dxf>
    <dxf>
      <font>
        <b val="0"/>
        <i val="0"/>
        <strike val="0"/>
        <color auto="1"/>
      </font>
      <fill>
        <patternFill>
          <bgColor rgb="FFFF0000"/>
        </patternFill>
      </fill>
    </dxf>
    <dxf>
      <fill>
        <patternFill patternType="solid">
          <bgColor rgb="FFFFFF00"/>
        </patternFill>
      </fill>
    </dxf>
    <dxf>
      <fill>
        <patternFill>
          <bgColor rgb="FFFFFF00"/>
        </patternFill>
      </fill>
    </dxf>
    <dxf>
      <font>
        <color rgb="FFFF0000"/>
      </font>
    </dxf>
    <dxf>
      <fill>
        <patternFill>
          <bgColor rgb="FFFFFF00"/>
        </patternFill>
      </fill>
    </dxf>
    <dxf>
      <fill>
        <patternFill>
          <bgColor rgb="FFFFFF00"/>
        </patternFill>
      </fill>
    </dxf>
    <dxf>
      <fill>
        <patternFill>
          <bgColor rgb="FFFFFF00"/>
        </patternFill>
      </fill>
    </dxf>
    <dxf>
      <fill>
        <patternFill>
          <bgColor theme="0" tint="-0.34998626667073579"/>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b/>
        <i val="0"/>
        <color rgb="FFFF0000"/>
      </font>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00"/>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theme="0" tint="-0.34998626667073579"/>
        </patternFill>
      </fill>
    </dxf>
    <dxf>
      <font>
        <color auto="1"/>
      </font>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ont>
        <b/>
        <i val="0"/>
        <color rgb="FFFF0000"/>
      </font>
    </dxf>
    <dxf>
      <fill>
        <patternFill>
          <bgColor theme="0" tint="-4.9989318521683403E-2"/>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patternType="none">
          <bgColor indexed="65"/>
        </patternFill>
      </fill>
    </dxf>
    <dxf>
      <fill>
        <patternFill>
          <bgColor rgb="FFFFFF00"/>
        </patternFill>
      </fill>
    </dxf>
    <dxf>
      <font>
        <b val="0"/>
        <i val="0"/>
        <color auto="1"/>
      </font>
      <fill>
        <patternFill>
          <bgColor rgb="FFFF0000"/>
        </patternFill>
      </fill>
    </dxf>
    <dxf>
      <fill>
        <patternFill patternType="none">
          <bgColor indexed="65"/>
        </patternFill>
      </fill>
    </dxf>
    <dxf>
      <fill>
        <patternFill>
          <bgColor rgb="FFFFFF00"/>
        </patternFill>
      </fill>
    </dxf>
    <dxf>
      <font>
        <b val="0"/>
        <i val="0"/>
        <color auto="1"/>
      </font>
      <fill>
        <patternFill>
          <bgColor rgb="FFFF0000"/>
        </patternFill>
      </fill>
    </dxf>
    <dxf>
      <fill>
        <patternFill patternType="none">
          <bgColor indexed="65"/>
        </patternFill>
      </fill>
    </dxf>
    <dxf>
      <fill>
        <patternFill>
          <bgColor rgb="FFFFFF00"/>
        </patternFill>
      </fill>
    </dxf>
    <dxf>
      <font>
        <b val="0"/>
        <i val="0"/>
        <color auto="1"/>
      </font>
      <fill>
        <patternFill>
          <bgColor rgb="FFFF0000"/>
        </patternFill>
      </fill>
    </dxf>
    <dxf>
      <fill>
        <patternFill patternType="none">
          <bgColor indexed="65"/>
        </patternFill>
      </fill>
    </dxf>
    <dxf>
      <fill>
        <patternFill>
          <bgColor rgb="FFFFFF00"/>
        </patternFill>
      </fill>
    </dxf>
    <dxf>
      <font>
        <b val="0"/>
        <i val="0"/>
        <color auto="1"/>
      </font>
      <fill>
        <patternFill>
          <bgColor rgb="FFFF0000"/>
        </patternFill>
      </fill>
    </dxf>
    <dxf>
      <fill>
        <patternFill>
          <bgColor rgb="FFFFFF00"/>
        </patternFill>
      </fill>
    </dxf>
    <dxf>
      <font>
        <b val="0"/>
        <i val="0"/>
        <color auto="1"/>
      </font>
      <fill>
        <patternFill>
          <bgColor rgb="FFFF0000"/>
        </patternFill>
      </fill>
    </dxf>
    <dxf>
      <fill>
        <patternFill patternType="none">
          <bgColor indexed="65"/>
        </patternFill>
      </fill>
    </dxf>
    <dxf>
      <font>
        <b val="0"/>
        <i val="0"/>
        <color auto="1"/>
      </font>
      <fill>
        <patternFill>
          <bgColor rgb="FFFF0000"/>
        </patternFill>
      </fill>
    </dxf>
    <dxf>
      <fill>
        <patternFill patternType="none">
          <bgColor indexed="65"/>
        </patternFill>
      </fill>
    </dxf>
    <dxf>
      <fill>
        <patternFill>
          <bgColor rgb="FFFFFF00"/>
        </patternFill>
      </fill>
    </dxf>
    <dxf>
      <fill>
        <patternFill>
          <bgColor rgb="FFFFFF00"/>
        </patternFill>
      </fill>
    </dxf>
    <dxf>
      <font>
        <b val="0"/>
        <i val="0"/>
        <color auto="1"/>
      </font>
      <fill>
        <patternFill>
          <bgColor rgb="FFFF0000"/>
        </patternFill>
      </fill>
    </dxf>
    <dxf>
      <fill>
        <patternFill patternType="none">
          <bgColor indexed="65"/>
        </patternFill>
      </fill>
    </dxf>
    <dxf>
      <fill>
        <patternFill>
          <bgColor rgb="FFFFFF00"/>
        </patternFill>
      </fill>
    </dxf>
    <dxf>
      <font>
        <b val="0"/>
        <i val="0"/>
        <strike val="0"/>
        <color auto="1"/>
      </font>
      <fill>
        <patternFill>
          <bgColor rgb="FFFF0000"/>
        </patternFill>
      </fill>
    </dxf>
    <dxf>
      <fill>
        <patternFill patternType="none">
          <bgColor indexed="65"/>
        </patternFill>
      </fill>
    </dxf>
    <dxf>
      <font>
        <b val="0"/>
        <i val="0"/>
        <color auto="1"/>
      </font>
      <fill>
        <patternFill>
          <bgColor rgb="FFFF0000"/>
        </patternFill>
      </fill>
    </dxf>
    <dxf>
      <fill>
        <patternFill patternType="none">
          <bgColor indexed="65"/>
        </patternFill>
      </fill>
    </dxf>
    <dxf>
      <fill>
        <patternFill>
          <bgColor rgb="FFFFFF00"/>
        </patternFill>
      </fill>
    </dxf>
    <dxf>
      <fill>
        <patternFill patternType="none">
          <bgColor indexed="65"/>
        </patternFill>
      </fill>
    </dxf>
    <dxf>
      <font>
        <b val="0"/>
        <i val="0"/>
        <strike val="0"/>
        <color auto="1"/>
      </font>
      <fill>
        <patternFill>
          <bgColor rgb="FFFF0000"/>
        </patternFill>
      </fill>
    </dxf>
    <dxf>
      <fill>
        <patternFill patternType="solid">
          <bgColor rgb="FFFFFF00"/>
        </patternFill>
      </fill>
    </dxf>
    <dxf>
      <fill>
        <patternFill>
          <bgColor rgb="FFFFFF00"/>
        </patternFill>
      </fill>
    </dxf>
    <dxf>
      <font>
        <color rgb="FFFF0000"/>
      </font>
    </dxf>
    <dxf>
      <fill>
        <patternFill>
          <bgColor rgb="FFFFFF00"/>
        </patternFill>
      </fill>
    </dxf>
    <dxf>
      <fill>
        <patternFill>
          <bgColor rgb="FFFFFF00"/>
        </patternFill>
      </fill>
    </dxf>
    <dxf>
      <fill>
        <patternFill>
          <bgColor rgb="FFFFFF00"/>
        </patternFill>
      </fill>
    </dxf>
    <dxf>
      <fill>
        <patternFill>
          <bgColor theme="0" tint="-0.34998626667073579"/>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b/>
        <i val="0"/>
        <color rgb="FFFF0000"/>
      </font>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00"/>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theme="0" tint="-0.34998626667073579"/>
        </patternFill>
      </fill>
    </dxf>
    <dxf>
      <font>
        <color auto="1"/>
      </font>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ont>
        <b/>
        <i val="0"/>
        <color rgb="FFFF0000"/>
      </font>
    </dxf>
    <dxf>
      <fill>
        <patternFill>
          <bgColor theme="0" tint="-4.9989318521683403E-2"/>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patternType="none">
          <bgColor indexed="65"/>
        </patternFill>
      </fill>
    </dxf>
    <dxf>
      <fill>
        <patternFill>
          <bgColor rgb="FFFFFF00"/>
        </patternFill>
      </fill>
    </dxf>
    <dxf>
      <font>
        <b val="0"/>
        <i val="0"/>
        <color auto="1"/>
      </font>
      <fill>
        <patternFill>
          <bgColor rgb="FFFF0000"/>
        </patternFill>
      </fill>
    </dxf>
    <dxf>
      <fill>
        <patternFill patternType="none">
          <bgColor indexed="65"/>
        </patternFill>
      </fill>
    </dxf>
    <dxf>
      <fill>
        <patternFill>
          <bgColor rgb="FFFFFF00"/>
        </patternFill>
      </fill>
    </dxf>
    <dxf>
      <font>
        <b val="0"/>
        <i val="0"/>
        <color auto="1"/>
      </font>
      <fill>
        <patternFill>
          <bgColor rgb="FFFF0000"/>
        </patternFill>
      </fill>
    </dxf>
    <dxf>
      <fill>
        <patternFill patternType="none">
          <bgColor indexed="65"/>
        </patternFill>
      </fill>
    </dxf>
    <dxf>
      <fill>
        <patternFill>
          <bgColor rgb="FFFFFF00"/>
        </patternFill>
      </fill>
    </dxf>
    <dxf>
      <font>
        <b val="0"/>
        <i val="0"/>
        <color auto="1"/>
      </font>
      <fill>
        <patternFill>
          <bgColor rgb="FFFF0000"/>
        </patternFill>
      </fill>
    </dxf>
    <dxf>
      <fill>
        <patternFill patternType="none">
          <bgColor indexed="65"/>
        </patternFill>
      </fill>
    </dxf>
    <dxf>
      <fill>
        <patternFill>
          <bgColor rgb="FFFFFF00"/>
        </patternFill>
      </fill>
    </dxf>
    <dxf>
      <font>
        <b val="0"/>
        <i val="0"/>
        <color auto="1"/>
      </font>
      <fill>
        <patternFill>
          <bgColor rgb="FFFF0000"/>
        </patternFill>
      </fill>
    </dxf>
    <dxf>
      <fill>
        <patternFill>
          <bgColor rgb="FFFFFF00"/>
        </patternFill>
      </fill>
    </dxf>
    <dxf>
      <font>
        <b val="0"/>
        <i val="0"/>
        <color auto="1"/>
      </font>
      <fill>
        <patternFill>
          <bgColor rgb="FFFF0000"/>
        </patternFill>
      </fill>
    </dxf>
    <dxf>
      <fill>
        <patternFill patternType="none">
          <bgColor indexed="65"/>
        </patternFill>
      </fill>
    </dxf>
    <dxf>
      <font>
        <b val="0"/>
        <i val="0"/>
        <color auto="1"/>
      </font>
      <fill>
        <patternFill>
          <bgColor rgb="FFFF0000"/>
        </patternFill>
      </fill>
    </dxf>
    <dxf>
      <fill>
        <patternFill patternType="none">
          <bgColor indexed="65"/>
        </patternFill>
      </fill>
    </dxf>
    <dxf>
      <fill>
        <patternFill>
          <bgColor rgb="FFFFFF00"/>
        </patternFill>
      </fill>
    </dxf>
    <dxf>
      <fill>
        <patternFill>
          <bgColor rgb="FFFFFF00"/>
        </patternFill>
      </fill>
    </dxf>
    <dxf>
      <font>
        <b val="0"/>
        <i val="0"/>
        <color auto="1"/>
      </font>
      <fill>
        <patternFill>
          <bgColor rgb="FFFF0000"/>
        </patternFill>
      </fill>
    </dxf>
    <dxf>
      <fill>
        <patternFill patternType="none">
          <bgColor indexed="65"/>
        </patternFill>
      </fill>
    </dxf>
    <dxf>
      <fill>
        <patternFill>
          <bgColor rgb="FFFFFF00"/>
        </patternFill>
      </fill>
    </dxf>
    <dxf>
      <font>
        <b val="0"/>
        <i val="0"/>
        <strike val="0"/>
        <color auto="1"/>
      </font>
      <fill>
        <patternFill>
          <bgColor rgb="FFFF0000"/>
        </patternFill>
      </fill>
    </dxf>
    <dxf>
      <fill>
        <patternFill patternType="none">
          <bgColor indexed="65"/>
        </patternFill>
      </fill>
    </dxf>
    <dxf>
      <font>
        <b val="0"/>
        <i val="0"/>
        <color auto="1"/>
      </font>
      <fill>
        <patternFill>
          <bgColor rgb="FFFF0000"/>
        </patternFill>
      </fill>
    </dxf>
    <dxf>
      <fill>
        <patternFill patternType="none">
          <bgColor indexed="65"/>
        </patternFill>
      </fill>
    </dxf>
    <dxf>
      <fill>
        <patternFill>
          <bgColor rgb="FFFFFF00"/>
        </patternFill>
      </fill>
    </dxf>
    <dxf>
      <fill>
        <patternFill patternType="none">
          <bgColor indexed="65"/>
        </patternFill>
      </fill>
    </dxf>
    <dxf>
      <font>
        <b val="0"/>
        <i val="0"/>
        <strike val="0"/>
        <color auto="1"/>
      </font>
      <fill>
        <patternFill>
          <bgColor rgb="FFFF0000"/>
        </patternFill>
      </fill>
    </dxf>
    <dxf>
      <fill>
        <patternFill patternType="solid">
          <bgColor rgb="FFFFFF00"/>
        </patternFill>
      </fill>
    </dxf>
    <dxf>
      <fill>
        <patternFill>
          <bgColor rgb="FFFFFF00"/>
        </patternFill>
      </fill>
    </dxf>
    <dxf>
      <font>
        <color rgb="FFFF0000"/>
      </font>
    </dxf>
    <dxf>
      <fill>
        <patternFill>
          <bgColor rgb="FFFFFF00"/>
        </patternFill>
      </fill>
    </dxf>
    <dxf>
      <fill>
        <patternFill>
          <bgColor rgb="FFFFFF00"/>
        </patternFill>
      </fill>
    </dxf>
    <dxf>
      <fill>
        <patternFill>
          <bgColor rgb="FFFFFF00"/>
        </patternFill>
      </fill>
    </dxf>
    <dxf>
      <fill>
        <patternFill>
          <bgColor theme="0" tint="-0.34998626667073579"/>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b/>
        <i val="0"/>
        <color rgb="FFFF0000"/>
      </font>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00"/>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theme="0" tint="-0.34998626667073579"/>
        </patternFill>
      </fill>
    </dxf>
    <dxf>
      <font>
        <color auto="1"/>
      </font>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ont>
        <b/>
        <i val="0"/>
        <color rgb="FFFF0000"/>
      </font>
    </dxf>
    <dxf>
      <fill>
        <patternFill>
          <bgColor theme="0" tint="-4.9989318521683403E-2"/>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patternType="none">
          <bgColor indexed="65"/>
        </patternFill>
      </fill>
    </dxf>
    <dxf>
      <fill>
        <patternFill>
          <bgColor rgb="FFFFFF00"/>
        </patternFill>
      </fill>
    </dxf>
    <dxf>
      <font>
        <b val="0"/>
        <i val="0"/>
        <color auto="1"/>
      </font>
      <fill>
        <patternFill>
          <bgColor rgb="FFFF0000"/>
        </patternFill>
      </fill>
    </dxf>
    <dxf>
      <fill>
        <patternFill patternType="none">
          <bgColor indexed="65"/>
        </patternFill>
      </fill>
    </dxf>
    <dxf>
      <fill>
        <patternFill>
          <bgColor rgb="FFFFFF00"/>
        </patternFill>
      </fill>
    </dxf>
    <dxf>
      <font>
        <b val="0"/>
        <i val="0"/>
        <color auto="1"/>
      </font>
      <fill>
        <patternFill>
          <bgColor rgb="FFFF0000"/>
        </patternFill>
      </fill>
    </dxf>
    <dxf>
      <fill>
        <patternFill patternType="none">
          <bgColor indexed="65"/>
        </patternFill>
      </fill>
    </dxf>
    <dxf>
      <fill>
        <patternFill>
          <bgColor rgb="FFFFFF00"/>
        </patternFill>
      </fill>
    </dxf>
    <dxf>
      <font>
        <b val="0"/>
        <i val="0"/>
        <color auto="1"/>
      </font>
      <fill>
        <patternFill>
          <bgColor rgb="FFFF0000"/>
        </patternFill>
      </fill>
    </dxf>
    <dxf>
      <fill>
        <patternFill patternType="none">
          <bgColor indexed="65"/>
        </patternFill>
      </fill>
    </dxf>
    <dxf>
      <fill>
        <patternFill>
          <bgColor rgb="FFFFFF00"/>
        </patternFill>
      </fill>
    </dxf>
    <dxf>
      <font>
        <b val="0"/>
        <i val="0"/>
        <color auto="1"/>
      </font>
      <fill>
        <patternFill>
          <bgColor rgb="FFFF0000"/>
        </patternFill>
      </fill>
    </dxf>
    <dxf>
      <fill>
        <patternFill>
          <bgColor rgb="FFFFFF00"/>
        </patternFill>
      </fill>
    </dxf>
    <dxf>
      <font>
        <b val="0"/>
        <i val="0"/>
        <color auto="1"/>
      </font>
      <fill>
        <patternFill>
          <bgColor rgb="FFFF0000"/>
        </patternFill>
      </fill>
    </dxf>
    <dxf>
      <fill>
        <patternFill patternType="none">
          <bgColor indexed="65"/>
        </patternFill>
      </fill>
    </dxf>
    <dxf>
      <font>
        <b val="0"/>
        <i val="0"/>
        <color auto="1"/>
      </font>
      <fill>
        <patternFill>
          <bgColor rgb="FFFF0000"/>
        </patternFill>
      </fill>
    </dxf>
    <dxf>
      <fill>
        <patternFill patternType="none">
          <bgColor indexed="65"/>
        </patternFill>
      </fill>
    </dxf>
    <dxf>
      <fill>
        <patternFill>
          <bgColor rgb="FFFFFF00"/>
        </patternFill>
      </fill>
    </dxf>
    <dxf>
      <fill>
        <patternFill>
          <bgColor rgb="FFFFFF00"/>
        </patternFill>
      </fill>
    </dxf>
    <dxf>
      <font>
        <b val="0"/>
        <i val="0"/>
        <color auto="1"/>
      </font>
      <fill>
        <patternFill>
          <bgColor rgb="FFFF0000"/>
        </patternFill>
      </fill>
    </dxf>
    <dxf>
      <fill>
        <patternFill patternType="none">
          <bgColor indexed="65"/>
        </patternFill>
      </fill>
    </dxf>
    <dxf>
      <fill>
        <patternFill>
          <bgColor rgb="FFFFFF00"/>
        </patternFill>
      </fill>
    </dxf>
    <dxf>
      <font>
        <b val="0"/>
        <i val="0"/>
        <strike val="0"/>
        <color auto="1"/>
      </font>
      <fill>
        <patternFill>
          <bgColor rgb="FFFF0000"/>
        </patternFill>
      </fill>
    </dxf>
    <dxf>
      <fill>
        <patternFill patternType="none">
          <bgColor indexed="65"/>
        </patternFill>
      </fill>
    </dxf>
    <dxf>
      <font>
        <b val="0"/>
        <i val="0"/>
        <color auto="1"/>
      </font>
      <fill>
        <patternFill>
          <bgColor rgb="FFFF0000"/>
        </patternFill>
      </fill>
    </dxf>
    <dxf>
      <fill>
        <patternFill patternType="none">
          <bgColor indexed="65"/>
        </patternFill>
      </fill>
    </dxf>
    <dxf>
      <fill>
        <patternFill>
          <bgColor rgb="FFFFFF00"/>
        </patternFill>
      </fill>
    </dxf>
    <dxf>
      <fill>
        <patternFill patternType="none">
          <bgColor indexed="65"/>
        </patternFill>
      </fill>
    </dxf>
    <dxf>
      <font>
        <b val="0"/>
        <i val="0"/>
        <strike val="0"/>
        <color auto="1"/>
      </font>
      <fill>
        <patternFill>
          <bgColor rgb="FFFF0000"/>
        </patternFill>
      </fill>
    </dxf>
    <dxf>
      <fill>
        <patternFill patternType="solid">
          <bgColor rgb="FFFFFF00"/>
        </patternFill>
      </fill>
    </dxf>
    <dxf>
      <fill>
        <patternFill>
          <bgColor rgb="FFFFFF00"/>
        </patternFill>
      </fill>
    </dxf>
    <dxf>
      <font>
        <color rgb="FFFF0000"/>
      </font>
    </dxf>
    <dxf>
      <fill>
        <patternFill>
          <bgColor rgb="FFFFFF00"/>
        </patternFill>
      </fill>
    </dxf>
    <dxf>
      <fill>
        <patternFill>
          <bgColor rgb="FFFFFF00"/>
        </patternFill>
      </fill>
    </dxf>
    <dxf>
      <fill>
        <patternFill>
          <bgColor rgb="FFFFFF00"/>
        </patternFill>
      </fill>
    </dxf>
    <dxf>
      <fill>
        <patternFill>
          <bgColor theme="0" tint="-0.34998626667073579"/>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9.png"/><Relationship Id="rId13" Type="http://schemas.openxmlformats.org/officeDocument/2006/relationships/image" Target="../media/image14.png"/><Relationship Id="rId3" Type="http://schemas.openxmlformats.org/officeDocument/2006/relationships/image" Target="../media/image4.png"/><Relationship Id="rId7" Type="http://schemas.openxmlformats.org/officeDocument/2006/relationships/image" Target="../media/image8.png"/><Relationship Id="rId12" Type="http://schemas.openxmlformats.org/officeDocument/2006/relationships/image" Target="../media/image13.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11" Type="http://schemas.openxmlformats.org/officeDocument/2006/relationships/image" Target="../media/image12.png"/><Relationship Id="rId5" Type="http://schemas.openxmlformats.org/officeDocument/2006/relationships/image" Target="../media/image6.png"/><Relationship Id="rId10" Type="http://schemas.openxmlformats.org/officeDocument/2006/relationships/image" Target="../media/image11.png"/><Relationship Id="rId4" Type="http://schemas.openxmlformats.org/officeDocument/2006/relationships/image" Target="../media/image5.png"/><Relationship Id="rId9" Type="http://schemas.openxmlformats.org/officeDocument/2006/relationships/image" Target="../media/image10.png"/><Relationship Id="rId14" Type="http://schemas.openxmlformats.org/officeDocument/2006/relationships/image" Target="../media/image15.png"/></Relationships>
</file>

<file path=xl/drawings/_rels/drawing3.xml.rels><?xml version="1.0" encoding="UTF-8" standalone="yes"?>
<Relationships xmlns="http://schemas.openxmlformats.org/package/2006/relationships"><Relationship Id="rId1" Type="http://schemas.openxmlformats.org/officeDocument/2006/relationships/image" Target="../media/image16.jpeg"/></Relationships>
</file>

<file path=xl/drawings/drawing1.xml><?xml version="1.0" encoding="utf-8"?>
<xdr:wsDr xmlns:xdr="http://schemas.openxmlformats.org/drawingml/2006/spreadsheetDrawing" xmlns:a="http://schemas.openxmlformats.org/drawingml/2006/main">
  <xdr:twoCellAnchor editAs="oneCell">
    <xdr:from>
      <xdr:col>5</xdr:col>
      <xdr:colOff>28575</xdr:colOff>
      <xdr:row>0</xdr:row>
      <xdr:rowOff>38100</xdr:rowOff>
    </xdr:from>
    <xdr:to>
      <xdr:col>7</xdr:col>
      <xdr:colOff>923925</xdr:colOff>
      <xdr:row>0</xdr:row>
      <xdr:rowOff>657225</xdr:rowOff>
    </xdr:to>
    <xdr:pic>
      <xdr:nvPicPr>
        <xdr:cNvPr id="1091" name="Picture 2">
          <a:extLst>
            <a:ext uri="{FF2B5EF4-FFF2-40B4-BE49-F238E27FC236}">
              <a16:creationId xmlns:a16="http://schemas.microsoft.com/office/drawing/2014/main" id="{DE2627BE-BCCC-4D46-9E59-9268A8A891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67425" y="38100"/>
          <a:ext cx="365760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47625</xdr:colOff>
      <xdr:row>16</xdr:row>
      <xdr:rowOff>0</xdr:rowOff>
    </xdr:from>
    <xdr:to>
      <xdr:col>2</xdr:col>
      <xdr:colOff>571500</xdr:colOff>
      <xdr:row>35</xdr:row>
      <xdr:rowOff>152400</xdr:rowOff>
    </xdr:to>
    <xdr:pic>
      <xdr:nvPicPr>
        <xdr:cNvPr id="6271" name="Picture 1">
          <a:extLst>
            <a:ext uri="{FF2B5EF4-FFF2-40B4-BE49-F238E27FC236}">
              <a16:creationId xmlns:a16="http://schemas.microsoft.com/office/drawing/2014/main" id="{45ACE6D2-E96B-4B6B-887C-2E0832FC66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3352800"/>
          <a:ext cx="1743075" cy="400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0</xdr:rowOff>
    </xdr:from>
    <xdr:to>
      <xdr:col>7</xdr:col>
      <xdr:colOff>371475</xdr:colOff>
      <xdr:row>14</xdr:row>
      <xdr:rowOff>76200</xdr:rowOff>
    </xdr:to>
    <xdr:pic>
      <xdr:nvPicPr>
        <xdr:cNvPr id="6272" name="Picture 2">
          <a:extLst>
            <a:ext uri="{FF2B5EF4-FFF2-40B4-BE49-F238E27FC236}">
              <a16:creationId xmlns:a16="http://schemas.microsoft.com/office/drawing/2014/main" id="{004BF095-D9C8-4FDA-BD1C-ECA26E0B5FC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057400"/>
          <a:ext cx="4638675"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419100</xdr:colOff>
      <xdr:row>1</xdr:row>
      <xdr:rowOff>0</xdr:rowOff>
    </xdr:from>
    <xdr:to>
      <xdr:col>12</xdr:col>
      <xdr:colOff>200025</xdr:colOff>
      <xdr:row>8</xdr:row>
      <xdr:rowOff>0</xdr:rowOff>
    </xdr:to>
    <xdr:pic>
      <xdr:nvPicPr>
        <xdr:cNvPr id="6273" name="Picture 3">
          <a:extLst>
            <a:ext uri="{FF2B5EF4-FFF2-40B4-BE49-F238E27FC236}">
              <a16:creationId xmlns:a16="http://schemas.microsoft.com/office/drawing/2014/main" id="{3ECF2D04-418D-4256-8944-40F4BF51D8AA}"/>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13544" r="7697" b="2176"/>
        <a:stretch>
          <a:fillRect/>
        </a:stretch>
      </xdr:blipFill>
      <xdr:spPr bwMode="auto">
        <a:xfrm>
          <a:off x="5905500" y="266700"/>
          <a:ext cx="1609725" cy="1333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0</xdr:colOff>
      <xdr:row>10</xdr:row>
      <xdr:rowOff>0</xdr:rowOff>
    </xdr:from>
    <xdr:to>
      <xdr:col>13</xdr:col>
      <xdr:colOff>0</xdr:colOff>
      <xdr:row>18</xdr:row>
      <xdr:rowOff>95250</xdr:rowOff>
    </xdr:to>
    <xdr:pic>
      <xdr:nvPicPr>
        <xdr:cNvPr id="6274" name="Picture 4">
          <a:extLst>
            <a:ext uri="{FF2B5EF4-FFF2-40B4-BE49-F238E27FC236}">
              <a16:creationId xmlns:a16="http://schemas.microsoft.com/office/drawing/2014/main" id="{3112EB8E-58A9-45FB-B7C2-81092FD2B32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l="8334" t="4375" b="4051"/>
        <a:stretch>
          <a:fillRect/>
        </a:stretch>
      </xdr:blipFill>
      <xdr:spPr bwMode="auto">
        <a:xfrm>
          <a:off x="5486400" y="2057400"/>
          <a:ext cx="2438400" cy="1771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0</xdr:colOff>
      <xdr:row>19</xdr:row>
      <xdr:rowOff>219075</xdr:rowOff>
    </xdr:from>
    <xdr:to>
      <xdr:col>11</xdr:col>
      <xdr:colOff>476250</xdr:colOff>
      <xdr:row>32</xdr:row>
      <xdr:rowOff>47625</xdr:rowOff>
    </xdr:to>
    <xdr:pic>
      <xdr:nvPicPr>
        <xdr:cNvPr id="6275" name="Picture 5">
          <a:extLst>
            <a:ext uri="{FF2B5EF4-FFF2-40B4-BE49-F238E27FC236}">
              <a16:creationId xmlns:a16="http://schemas.microsoft.com/office/drawing/2014/main" id="{1804D06D-5B56-4A75-B592-B85324DC9C5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5486400" y="4143375"/>
          <a:ext cx="1695450" cy="2533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21</xdr:row>
      <xdr:rowOff>38100</xdr:rowOff>
    </xdr:from>
    <xdr:to>
      <xdr:col>13</xdr:col>
      <xdr:colOff>0</xdr:colOff>
      <xdr:row>30</xdr:row>
      <xdr:rowOff>0</xdr:rowOff>
    </xdr:to>
    <xdr:pic>
      <xdr:nvPicPr>
        <xdr:cNvPr id="6276" name="Picture 6">
          <a:extLst>
            <a:ext uri="{FF2B5EF4-FFF2-40B4-BE49-F238E27FC236}">
              <a16:creationId xmlns:a16="http://schemas.microsoft.com/office/drawing/2014/main" id="{F74657B5-F9DE-4848-870F-8E3D3F653E77}"/>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705600" y="4419600"/>
          <a:ext cx="1219200" cy="1828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552450</xdr:colOff>
      <xdr:row>24</xdr:row>
      <xdr:rowOff>0</xdr:rowOff>
    </xdr:from>
    <xdr:to>
      <xdr:col>18</xdr:col>
      <xdr:colOff>9525</xdr:colOff>
      <xdr:row>36</xdr:row>
      <xdr:rowOff>0</xdr:rowOff>
    </xdr:to>
    <xdr:pic>
      <xdr:nvPicPr>
        <xdr:cNvPr id="6277" name="Picture 7">
          <a:extLst>
            <a:ext uri="{FF2B5EF4-FFF2-40B4-BE49-F238E27FC236}">
              <a16:creationId xmlns:a16="http://schemas.microsoft.com/office/drawing/2014/main" id="{94B85BEA-4E05-4873-99B4-C30B5C3800CA}"/>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9086850" y="5029200"/>
          <a:ext cx="1895475" cy="2362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0</xdr:colOff>
      <xdr:row>1</xdr:row>
      <xdr:rowOff>0</xdr:rowOff>
    </xdr:from>
    <xdr:to>
      <xdr:col>16</xdr:col>
      <xdr:colOff>95250</xdr:colOff>
      <xdr:row>10</xdr:row>
      <xdr:rowOff>76200</xdr:rowOff>
    </xdr:to>
    <xdr:pic>
      <xdr:nvPicPr>
        <xdr:cNvPr id="6278" name="Picture 8">
          <a:extLst>
            <a:ext uri="{FF2B5EF4-FFF2-40B4-BE49-F238E27FC236}">
              <a16:creationId xmlns:a16="http://schemas.microsoft.com/office/drawing/2014/main" id="{5AD45B14-23E4-4059-A246-E708A70C497C}"/>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534400" y="266700"/>
          <a:ext cx="1314450" cy="1866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16</xdr:col>
      <xdr:colOff>523875</xdr:colOff>
      <xdr:row>1</xdr:row>
      <xdr:rowOff>0</xdr:rowOff>
    </xdr:from>
    <xdr:to>
      <xdr:col>19</xdr:col>
      <xdr:colOff>0</xdr:colOff>
      <xdr:row>10</xdr:row>
      <xdr:rowOff>76200</xdr:rowOff>
    </xdr:to>
    <xdr:pic>
      <xdr:nvPicPr>
        <xdr:cNvPr id="6279" name="Picture 9">
          <a:extLst>
            <a:ext uri="{FF2B5EF4-FFF2-40B4-BE49-F238E27FC236}">
              <a16:creationId xmlns:a16="http://schemas.microsoft.com/office/drawing/2014/main" id="{07A0C5BC-FC50-429B-8E65-3EC00BAB07FD}"/>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0277475" y="266700"/>
          <a:ext cx="1304925" cy="1866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15</xdr:col>
      <xdr:colOff>457200</xdr:colOff>
      <xdr:row>12</xdr:row>
      <xdr:rowOff>0</xdr:rowOff>
    </xdr:from>
    <xdr:to>
      <xdr:col>18</xdr:col>
      <xdr:colOff>0</xdr:colOff>
      <xdr:row>21</xdr:row>
      <xdr:rowOff>152400</xdr:rowOff>
    </xdr:to>
    <xdr:pic>
      <xdr:nvPicPr>
        <xdr:cNvPr id="6280" name="Picture 10">
          <a:extLst>
            <a:ext uri="{FF2B5EF4-FFF2-40B4-BE49-F238E27FC236}">
              <a16:creationId xmlns:a16="http://schemas.microsoft.com/office/drawing/2014/main" id="{FDB5891D-0542-4452-B73F-B602F28C6BE3}"/>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9601200" y="2514600"/>
          <a:ext cx="1371600" cy="2019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381000</xdr:colOff>
      <xdr:row>16</xdr:row>
      <xdr:rowOff>0</xdr:rowOff>
    </xdr:from>
    <xdr:to>
      <xdr:col>6</xdr:col>
      <xdr:colOff>247650</xdr:colOff>
      <xdr:row>23</xdr:row>
      <xdr:rowOff>152400</xdr:rowOff>
    </xdr:to>
    <xdr:pic>
      <xdr:nvPicPr>
        <xdr:cNvPr id="6281" name="Picture 11">
          <a:extLst>
            <a:ext uri="{FF2B5EF4-FFF2-40B4-BE49-F238E27FC236}">
              <a16:creationId xmlns:a16="http://schemas.microsoft.com/office/drawing/2014/main" id="{BE997AA6-3AAC-4DD2-93E4-58A9B3DD1C4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2819400" y="3352800"/>
          <a:ext cx="1085850" cy="1638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295275</xdr:colOff>
      <xdr:row>26</xdr:row>
      <xdr:rowOff>0</xdr:rowOff>
    </xdr:from>
    <xdr:to>
      <xdr:col>6</xdr:col>
      <xdr:colOff>323850</xdr:colOff>
      <xdr:row>35</xdr:row>
      <xdr:rowOff>0</xdr:rowOff>
    </xdr:to>
    <xdr:pic>
      <xdr:nvPicPr>
        <xdr:cNvPr id="6282" name="Picture 12">
          <a:extLst>
            <a:ext uri="{FF2B5EF4-FFF2-40B4-BE49-F238E27FC236}">
              <a16:creationId xmlns:a16="http://schemas.microsoft.com/office/drawing/2014/main" id="{6ABE5DD3-48BF-4623-9F1A-73D4C1F06F28}"/>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2733675" y="5486400"/>
          <a:ext cx="1247775" cy="1714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15</xdr:col>
      <xdr:colOff>114301</xdr:colOff>
      <xdr:row>32</xdr:row>
      <xdr:rowOff>76201</xdr:rowOff>
    </xdr:from>
    <xdr:to>
      <xdr:col>15</xdr:col>
      <xdr:colOff>428625</xdr:colOff>
      <xdr:row>35</xdr:row>
      <xdr:rowOff>62012</xdr:rowOff>
    </xdr:to>
    <xdr:pic>
      <xdr:nvPicPr>
        <xdr:cNvPr id="14" name="Picture 13">
          <a:extLst>
            <a:ext uri="{FF2B5EF4-FFF2-40B4-BE49-F238E27FC236}">
              <a16:creationId xmlns:a16="http://schemas.microsoft.com/office/drawing/2014/main" id="{C4711853-FBDE-4AB9-9995-21423BF74591}"/>
            </a:ext>
          </a:extLst>
        </xdr:cNvPr>
        <xdr:cNvPicPr>
          <a:picLocks noChangeAspect="1"/>
        </xdr:cNvPicPr>
      </xdr:nvPicPr>
      <xdr:blipFill>
        <a:blip xmlns:r="http://schemas.openxmlformats.org/officeDocument/2006/relationships" r:embed="rId13" cstate="print"/>
        <a:stretch>
          <a:fillRect/>
        </a:stretch>
      </xdr:blipFill>
      <xdr:spPr>
        <a:xfrm>
          <a:off x="9029701" y="6705601"/>
          <a:ext cx="314324" cy="557311"/>
        </a:xfrm>
        <a:prstGeom prst="rect">
          <a:avLst/>
        </a:prstGeom>
        <a:effectLst>
          <a:glow rad="12700">
            <a:schemeClr val="bg1">
              <a:alpha val="17000"/>
            </a:schemeClr>
          </a:glow>
          <a:softEdge rad="0"/>
        </a:effectLst>
      </xdr:spPr>
    </xdr:pic>
    <xdr:clientData/>
  </xdr:twoCellAnchor>
  <xdr:twoCellAnchor editAs="oneCell">
    <xdr:from>
      <xdr:col>1</xdr:col>
      <xdr:colOff>19050</xdr:colOff>
      <xdr:row>1</xdr:row>
      <xdr:rowOff>0</xdr:rowOff>
    </xdr:from>
    <xdr:to>
      <xdr:col>7</xdr:col>
      <xdr:colOff>19050</xdr:colOff>
      <xdr:row>7</xdr:row>
      <xdr:rowOff>161925</xdr:rowOff>
    </xdr:to>
    <xdr:pic>
      <xdr:nvPicPr>
        <xdr:cNvPr id="6284" name="Picture 14">
          <a:extLst>
            <a:ext uri="{FF2B5EF4-FFF2-40B4-BE49-F238E27FC236}">
              <a16:creationId xmlns:a16="http://schemas.microsoft.com/office/drawing/2014/main" id="{30BD1185-D3A8-41FF-AD36-80A838EF40B7}"/>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628650" y="266700"/>
          <a:ext cx="3657600" cy="130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20</xdr:col>
      <xdr:colOff>47625</xdr:colOff>
      <xdr:row>41</xdr:row>
      <xdr:rowOff>104775</xdr:rowOff>
    </xdr:to>
    <xdr:pic>
      <xdr:nvPicPr>
        <xdr:cNvPr id="7178" name="Picture 2">
          <a:extLst>
            <a:ext uri="{FF2B5EF4-FFF2-40B4-BE49-F238E27FC236}">
              <a16:creationId xmlns:a16="http://schemas.microsoft.com/office/drawing/2014/main" id="{524771B1-DDDB-4229-8855-7A1891E5C6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2239625" cy="791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pageSetUpPr fitToPage="1"/>
  </sheetPr>
  <dimension ref="A1:N78"/>
  <sheetViews>
    <sheetView tabSelected="1" zoomScale="90" zoomScaleNormal="90" workbookViewId="0">
      <selection activeCell="A3" sqref="A3:L3"/>
    </sheetView>
  </sheetViews>
  <sheetFormatPr defaultColWidth="13.7109375" defaultRowHeight="15" x14ac:dyDescent="0.25"/>
  <cols>
    <col min="1" max="1" width="7.7109375" customWidth="1"/>
    <col min="2" max="12" width="20.7109375" customWidth="1"/>
    <col min="13" max="13" width="22" style="9" bestFit="1" customWidth="1"/>
    <col min="14" max="14" width="36.85546875" style="10" bestFit="1" customWidth="1"/>
  </cols>
  <sheetData>
    <row r="1" spans="1:14" ht="52.5" customHeight="1" x14ac:dyDescent="0.25">
      <c r="A1" s="134" t="s">
        <v>497</v>
      </c>
      <c r="B1" s="134"/>
      <c r="C1" s="134"/>
      <c r="D1" s="134"/>
      <c r="E1" s="134"/>
      <c r="F1" s="134"/>
      <c r="G1" s="134"/>
      <c r="H1" s="134"/>
      <c r="I1" s="134"/>
      <c r="J1" s="134"/>
      <c r="K1" s="134"/>
      <c r="L1" s="134"/>
    </row>
    <row r="2" spans="1:14" ht="27" thickBot="1" x14ac:dyDescent="0.3">
      <c r="A2" s="133" t="str">
        <f>IF(F11="","QUOTE REQUEST","ORDER  FORM")</f>
        <v>QUOTE REQUEST</v>
      </c>
      <c r="B2" s="133"/>
      <c r="C2" s="133"/>
      <c r="D2" s="133"/>
      <c r="E2" s="133"/>
      <c r="F2" s="133"/>
      <c r="G2" s="133"/>
      <c r="H2" s="133"/>
      <c r="I2" s="133"/>
      <c r="J2" s="133"/>
      <c r="K2" s="133"/>
      <c r="L2" s="133"/>
    </row>
    <row r="3" spans="1:14" ht="90" customHeight="1" thickTop="1" thickBot="1" x14ac:dyDescent="0.3">
      <c r="A3" s="120" t="s">
        <v>456</v>
      </c>
      <c r="B3" s="121"/>
      <c r="C3" s="121"/>
      <c r="D3" s="121"/>
      <c r="E3" s="121"/>
      <c r="F3" s="121"/>
      <c r="G3" s="121"/>
      <c r="H3" s="121"/>
      <c r="I3" s="121"/>
      <c r="J3" s="121"/>
      <c r="K3" s="121"/>
      <c r="L3" s="122"/>
    </row>
    <row r="4" spans="1:14" ht="16.5" thickTop="1" thickBot="1" x14ac:dyDescent="0.3">
      <c r="A4" s="10"/>
      <c r="B4" s="10"/>
      <c r="C4" s="10"/>
      <c r="D4" s="10"/>
      <c r="E4" s="10"/>
      <c r="F4" s="10"/>
      <c r="G4" s="10"/>
      <c r="H4" s="10"/>
      <c r="I4" s="10"/>
      <c r="J4" s="10"/>
      <c r="K4" s="10"/>
      <c r="L4" s="10"/>
    </row>
    <row r="5" spans="1:14" ht="20.25" thickTop="1" thickBot="1" x14ac:dyDescent="0.3">
      <c r="A5" s="135" t="s">
        <v>270</v>
      </c>
      <c r="B5" s="136"/>
      <c r="C5" s="136"/>
      <c r="D5" s="137"/>
      <c r="E5" s="10"/>
      <c r="F5" s="11" t="s">
        <v>269</v>
      </c>
      <c r="G5" s="10"/>
      <c r="H5" s="135" t="s">
        <v>267</v>
      </c>
      <c r="I5" s="137"/>
      <c r="J5" s="10"/>
      <c r="K5" s="135" t="s">
        <v>268</v>
      </c>
      <c r="L5" s="137"/>
      <c r="M5" s="9">
        <v>1</v>
      </c>
    </row>
    <row r="6" spans="1:14" ht="20.100000000000001" customHeight="1" x14ac:dyDescent="0.25">
      <c r="A6" s="97" t="s">
        <v>0</v>
      </c>
      <c r="B6" s="98"/>
      <c r="C6" s="139"/>
      <c r="D6" s="140"/>
      <c r="E6" s="138" t="str">
        <f>IF(F6="","START HERE →","")</f>
        <v>START HERE →</v>
      </c>
      <c r="F6" s="141"/>
      <c r="G6" s="10"/>
      <c r="H6" s="91" t="s">
        <v>3</v>
      </c>
      <c r="I6" s="92"/>
      <c r="J6" s="10"/>
      <c r="K6" s="91" t="str">
        <f>IF(H6="","",H6)</f>
        <v>CONTACT</v>
      </c>
      <c r="L6" s="92"/>
      <c r="M6" s="9">
        <v>2</v>
      </c>
    </row>
    <row r="7" spans="1:14" ht="20.100000000000001" customHeight="1" thickBot="1" x14ac:dyDescent="0.3">
      <c r="A7" s="97" t="s">
        <v>1</v>
      </c>
      <c r="B7" s="98"/>
      <c r="C7" s="101"/>
      <c r="D7" s="102"/>
      <c r="E7" s="138"/>
      <c r="F7" s="142"/>
      <c r="G7" s="10"/>
      <c r="H7" s="91" t="s">
        <v>454</v>
      </c>
      <c r="I7" s="92"/>
      <c r="J7" s="10"/>
      <c r="K7" s="91" t="str">
        <f t="shared" ref="K7:K12" si="0">IF(H7="","",H7)</f>
        <v>COMPANY NAME</v>
      </c>
      <c r="L7" s="92"/>
      <c r="M7" s="9">
        <v>3</v>
      </c>
    </row>
    <row r="8" spans="1:14" ht="20.100000000000001" customHeight="1" thickTop="1" x14ac:dyDescent="0.25">
      <c r="A8" s="97" t="s">
        <v>2</v>
      </c>
      <c r="B8" s="98"/>
      <c r="C8" s="101"/>
      <c r="D8" s="102"/>
      <c r="E8" s="10"/>
      <c r="F8" s="12" t="str">
        <f>IF(F6="","*ONCE A NUMBER IS ENTERED, THE FORM WILL BEGIN TO POPULATE*","")</f>
        <v>*ONCE A NUMBER IS ENTERED, THE FORM WILL BEGIN TO POPULATE*</v>
      </c>
      <c r="G8" s="10"/>
      <c r="H8" s="91" t="s">
        <v>4</v>
      </c>
      <c r="I8" s="92"/>
      <c r="J8" s="10"/>
      <c r="K8" s="91" t="str">
        <f t="shared" si="0"/>
        <v>Address Line 1</v>
      </c>
      <c r="L8" s="92"/>
      <c r="M8" s="9">
        <v>4</v>
      </c>
    </row>
    <row r="9" spans="1:14" ht="20.100000000000001" customHeight="1" thickBot="1" x14ac:dyDescent="0.3">
      <c r="A9" s="130"/>
      <c r="B9" s="131"/>
      <c r="C9" s="13"/>
      <c r="D9" s="14"/>
      <c r="E9" s="10"/>
      <c r="F9" s="10"/>
      <c r="G9" s="10"/>
      <c r="H9" s="91" t="s">
        <v>5</v>
      </c>
      <c r="I9" s="92"/>
      <c r="J9" s="10"/>
      <c r="K9" s="91" t="str">
        <f t="shared" si="0"/>
        <v>Address Line 2</v>
      </c>
      <c r="L9" s="92"/>
      <c r="M9" s="15">
        <v>5</v>
      </c>
    </row>
    <row r="10" spans="1:14" ht="20.100000000000001" customHeight="1" thickTop="1" thickBot="1" x14ac:dyDescent="0.3">
      <c r="A10" s="97" t="s">
        <v>266</v>
      </c>
      <c r="B10" s="98"/>
      <c r="C10" s="99" t="s">
        <v>293</v>
      </c>
      <c r="D10" s="100"/>
      <c r="E10" s="10"/>
      <c r="F10" s="16" t="s">
        <v>338</v>
      </c>
      <c r="G10" s="10"/>
      <c r="H10" s="91" t="s">
        <v>6</v>
      </c>
      <c r="I10" s="92"/>
      <c r="J10" s="10"/>
      <c r="K10" s="91" t="str">
        <f t="shared" si="0"/>
        <v>City, State/Prov.</v>
      </c>
      <c r="L10" s="92"/>
      <c r="M10" s="9">
        <v>6</v>
      </c>
    </row>
    <row r="11" spans="1:14" ht="20.100000000000001" customHeight="1" thickBot="1" x14ac:dyDescent="0.3">
      <c r="A11" s="97" t="s">
        <v>264</v>
      </c>
      <c r="B11" s="98"/>
      <c r="C11" s="101"/>
      <c r="D11" s="102"/>
      <c r="E11" s="10"/>
      <c r="F11" s="57"/>
      <c r="G11" s="10"/>
      <c r="H11" s="93" t="s">
        <v>7</v>
      </c>
      <c r="I11" s="94"/>
      <c r="J11" s="10"/>
      <c r="K11" s="93" t="str">
        <f t="shared" si="0"/>
        <v>ZIP / PC</v>
      </c>
      <c r="L11" s="94"/>
      <c r="M11" s="9">
        <v>7</v>
      </c>
    </row>
    <row r="12" spans="1:14" ht="20.100000000000001" customHeight="1" thickTop="1" thickBot="1" x14ac:dyDescent="0.3">
      <c r="A12" s="125" t="s">
        <v>265</v>
      </c>
      <c r="B12" s="126"/>
      <c r="C12" s="123"/>
      <c r="D12" s="124"/>
      <c r="E12" s="10"/>
      <c r="F12" s="17" t="s">
        <v>422</v>
      </c>
      <c r="G12" s="10"/>
      <c r="H12" s="95" t="s">
        <v>8</v>
      </c>
      <c r="I12" s="96"/>
      <c r="J12" s="10"/>
      <c r="K12" s="95" t="str">
        <f t="shared" si="0"/>
        <v>Country</v>
      </c>
      <c r="L12" s="96"/>
      <c r="M12" s="9">
        <v>8</v>
      </c>
    </row>
    <row r="13" spans="1:14" x14ac:dyDescent="0.25">
      <c r="A13" s="10"/>
      <c r="B13" s="10"/>
      <c r="C13" s="10"/>
      <c r="D13" s="10"/>
      <c r="E13" s="10"/>
      <c r="F13" s="10"/>
      <c r="G13" s="10"/>
      <c r="H13" s="10"/>
      <c r="I13" s="10"/>
      <c r="J13" s="10"/>
      <c r="K13" s="10"/>
      <c r="L13" s="10"/>
      <c r="M13" s="9">
        <v>9</v>
      </c>
    </row>
    <row r="14" spans="1:14" ht="16.5" thickBot="1" x14ac:dyDescent="0.3">
      <c r="A14" s="18" t="s">
        <v>471</v>
      </c>
      <c r="B14" s="10"/>
      <c r="C14" s="10"/>
      <c r="D14" s="10"/>
      <c r="E14" s="10"/>
      <c r="F14" s="10"/>
      <c r="G14" s="10"/>
      <c r="H14" s="10"/>
      <c r="I14" s="10"/>
      <c r="J14" s="10"/>
      <c r="K14" s="10"/>
      <c r="L14" s="10"/>
      <c r="M14" s="9">
        <v>10</v>
      </c>
    </row>
    <row r="15" spans="1:14" s="24" customFormat="1" ht="34.5" customHeight="1" x14ac:dyDescent="0.3">
      <c r="A15" s="19"/>
      <c r="B15" s="20"/>
      <c r="C15" s="21"/>
      <c r="D15" s="127" t="s">
        <v>452</v>
      </c>
      <c r="E15" s="128"/>
      <c r="F15" s="128"/>
      <c r="G15" s="128"/>
      <c r="H15" s="129"/>
      <c r="I15" s="103" t="s">
        <v>66</v>
      </c>
      <c r="J15" s="104"/>
      <c r="K15" s="104"/>
      <c r="L15" s="105"/>
      <c r="M15" s="22"/>
      <c r="N15" s="23"/>
    </row>
    <row r="16" spans="1:14" s="32" customFormat="1" ht="31.5" x14ac:dyDescent="0.25">
      <c r="A16" s="25" t="s">
        <v>263</v>
      </c>
      <c r="B16" s="26" t="s">
        <v>450</v>
      </c>
      <c r="C16" s="27" t="s">
        <v>11</v>
      </c>
      <c r="D16" s="25" t="s">
        <v>10</v>
      </c>
      <c r="E16" s="28" t="s">
        <v>71</v>
      </c>
      <c r="F16" s="28" t="s">
        <v>72</v>
      </c>
      <c r="G16" s="28" t="s">
        <v>73</v>
      </c>
      <c r="H16" s="29" t="s">
        <v>74</v>
      </c>
      <c r="I16" s="25" t="s">
        <v>108</v>
      </c>
      <c r="J16" s="28" t="s">
        <v>19</v>
      </c>
      <c r="K16" s="28" t="s">
        <v>20</v>
      </c>
      <c r="L16" s="29" t="s">
        <v>496</v>
      </c>
      <c r="M16" s="30" t="s">
        <v>482</v>
      </c>
      <c r="N16" s="31"/>
    </row>
    <row r="17" spans="1:14" ht="35.1" customHeight="1" x14ac:dyDescent="0.25">
      <c r="A17" s="33" t="str">
        <f>IF($F$6&gt;=1,CONCATENATE(M5,M17),"")</f>
        <v/>
      </c>
      <c r="B17" s="1"/>
      <c r="C17" s="42" t="str">
        <f>IF($F$6&gt;=1,' '!B5,"")</f>
        <v/>
      </c>
      <c r="D17" s="2"/>
      <c r="E17" s="3"/>
      <c r="F17" s="56"/>
      <c r="G17" s="3"/>
      <c r="H17" s="4"/>
      <c r="I17" s="43" t="str">
        <f>IF($F$6&gt;=1,' '!D5,"")</f>
        <v/>
      </c>
      <c r="J17" s="44" t="str">
        <f>IF(OR(I17=' '!$D$8,I17=' '!$D$9,I17=' '!D10,I17=' '!D11),' '!$D$13,"")</f>
        <v/>
      </c>
      <c r="K17" s="44" t="str">
        <f>IF(OR(I17=' '!$D$8,I17=' '!$D$9,I17=' '!$D$10,I17=' '!$D$11),' '!$F$5,"")</f>
        <v/>
      </c>
      <c r="L17" s="1" t="str">
        <f>IF(I17="","",IF(OR(I17=' '!$D$5,I17=' '!$D$6,I17=' '!$D$7),"",IF(OR(I17=' '!$D$8,I17=' '!$D$10,I17=' '!$D$9,I17=' '!$D$11),' '!H5)))</f>
        <v/>
      </c>
      <c r="M17" s="9" t="str">
        <f>IF(AND($F$6&gt;=1,E17&gt;1),IF(OR(F17&gt;82.99,AND(E17&gt;60.9,F17&gt;68.9),AND(E17&gt;58.9,F17&gt;70.9),AND(E17&gt;56.9,F17&gt;72.9),AND(E17&gt;54.9,F17&gt;74.9),AND(E17&gt;52.9,F17&gt;76.9),AND(E17&gt;50.9,F17&gt;80.9)),", IT*",""),"")</f>
        <v/>
      </c>
    </row>
    <row r="18" spans="1:14" ht="35.1" customHeight="1" x14ac:dyDescent="0.25">
      <c r="A18" s="33" t="str">
        <f>IF($F$6&gt;=2,CONCATENATE(M6,M18),"")</f>
        <v/>
      </c>
      <c r="B18" s="1"/>
      <c r="C18" s="42" t="str">
        <f>IF($F$6&gt;=2,$C$17,"")</f>
        <v/>
      </c>
      <c r="D18" s="2"/>
      <c r="E18" s="3"/>
      <c r="F18" s="3"/>
      <c r="G18" s="3"/>
      <c r="H18" s="4"/>
      <c r="I18" s="43" t="str">
        <f>IF($F$6&gt;=2,$I$17,"")</f>
        <v/>
      </c>
      <c r="J18" s="44" t="str">
        <f>IF(OR(I18=' '!$D$8,I18=' '!$D$9,I18=' '!$D$10,I18=' '!$D$11),IF($J$17="",' '!$D$13,$J$17),"")</f>
        <v/>
      </c>
      <c r="K18" s="44" t="str">
        <f>IF(OR(I18=' '!$D$8,I18=' '!$D$9,I18=' '!$D$10,I18=' '!$D$11),IF($K$17="",' '!$F$5,$K$17),"")</f>
        <v/>
      </c>
      <c r="L18" s="1" t="str">
        <f>IF(I18="","",IF(I18=$I$17,$L$17,IF(OR(I18=' '!$D$5,I18=' '!$D$6,I18=' '!$D$7),"",IF(OR(I18=' '!$D$8,I18=' '!$D$10,I18=' '!$D$9,I18=' '!$D$11),' '!$H$5))))</f>
        <v/>
      </c>
      <c r="M18" s="9" t="str">
        <f>IF($F$6&gt;=2,IF(OR(F18&gt;82.99,AND(E18&gt;60.9,F18&gt;68.9),AND(E18&gt;58.9,F18&gt;70.9),AND(E18&gt;56.9,F18&gt;72.9),AND(E18&gt;54.9,F18&gt;74.9),AND(E18&gt;52.9,F18&gt;76.9),AND(E18&gt;50.9,F18&gt;80.9)),", IT*",""),"")</f>
        <v/>
      </c>
    </row>
    <row r="19" spans="1:14" ht="35.1" customHeight="1" x14ac:dyDescent="0.25">
      <c r="A19" s="33" t="str">
        <f>IF($F$6&gt;=3,CONCATENATE(M7,M19),"")</f>
        <v/>
      </c>
      <c r="B19" s="1"/>
      <c r="C19" s="42" t="str">
        <f>IF($F$6&gt;=3,$C$17,"")</f>
        <v/>
      </c>
      <c r="D19" s="2"/>
      <c r="E19" s="3"/>
      <c r="F19" s="3"/>
      <c r="G19" s="3"/>
      <c r="H19" s="4"/>
      <c r="I19" s="43" t="str">
        <f>IF($F$6&gt;=3,$I$17,"")</f>
        <v/>
      </c>
      <c r="J19" s="44" t="str">
        <f>IF(OR(I19=' '!$D$8,I19=' '!$D$9,I19=' '!$D$10,I19=' '!$D$11),IF($J$17="",' '!$D$13,$J$17),"")</f>
        <v/>
      </c>
      <c r="K19" s="44" t="str">
        <f>IF(OR(I19=' '!$D$8,I19=' '!$D$9,I19=' '!$D$10,I19=' '!$D$11),IF($K$17="",' '!$F$5,$K$17),"")</f>
        <v/>
      </c>
      <c r="L19" s="1" t="str">
        <f>IF(I19="","",IF(I19=$I$17,$L$17,IF(OR(I19=' '!$D$5,I19=' '!$D$6,I19=' '!$D$7),"",IF(OR(I19=' '!$D$8,I19=' '!$D$10,I19=' '!$D$9,I19=' '!$D$11),' '!$H$5))))</f>
        <v/>
      </c>
      <c r="M19" s="9" t="str">
        <f>IF($F$6&gt;=3,IF(OR(F19&gt;82.99,AND(E19&gt;60.9,F19&gt;68.9),AND(E19&gt;58.9,F19&gt;70.9),AND(E19&gt;56.9,F19&gt;72.9),AND(E19&gt;54.9,F19&gt;74.9),AND(E19&gt;52.9,F19&gt;76.9),AND(E19&gt;50.9,F19&gt;80.9)),", IT*",""),"")</f>
        <v/>
      </c>
    </row>
    <row r="20" spans="1:14" ht="35.1" customHeight="1" x14ac:dyDescent="0.25">
      <c r="A20" s="33" t="str">
        <f>IF($F$6&gt;=4,CONCATENATE(M8,M20),"")</f>
        <v/>
      </c>
      <c r="B20" s="1"/>
      <c r="C20" s="42" t="str">
        <f>IF($F$6&gt;=4,$C$17,"")</f>
        <v/>
      </c>
      <c r="D20" s="2"/>
      <c r="E20" s="3"/>
      <c r="F20" s="3"/>
      <c r="G20" s="3"/>
      <c r="H20" s="4"/>
      <c r="I20" s="43" t="str">
        <f>IF($F$6&gt;=4,$I$17,"")</f>
        <v/>
      </c>
      <c r="J20" s="44" t="str">
        <f>IF(OR(I20=' '!$D$8,I20=' '!$D$9,I20=' '!$D$10,I20=' '!$D$11),IF($J$17="",' '!$D$13,$J$17),"")</f>
        <v/>
      </c>
      <c r="K20" s="44" t="str">
        <f>IF(OR(I20=' '!$D$8,I20=' '!$D$9,I20=' '!$D$10,I20=' '!$D$11),IF($K$17="",' '!$F$5,$K$17),"")</f>
        <v/>
      </c>
      <c r="L20" s="1" t="str">
        <f>IF(I20="","",IF(I20=$I$17,$L$17,IF(OR(I20=' '!$D$5,I20=' '!$D$6,I20=' '!$D$7),"",IF(OR(I20=' '!$D$8,I20=' '!$D$10,I20=' '!$D$9,I20=' '!$D$11),' '!$H$5))))</f>
        <v/>
      </c>
      <c r="M20" s="9" t="str">
        <f>IF($F$6&gt;=4,IF(OR(F20&gt;82.99,AND(E20&gt;60.9,F20&gt;68.9),AND(E20&gt;58.9,F20&gt;70.9),AND(E20&gt;56.9,F20&gt;72.9),AND(E20&gt;54.9,F20&gt;74.9),AND(E20&gt;52.9,F20&gt;76.9),AND(E20&gt;50.9,F20&gt;80.9)),", IT*",""),"")</f>
        <v/>
      </c>
    </row>
    <row r="21" spans="1:14" ht="35.1" customHeight="1" x14ac:dyDescent="0.25">
      <c r="A21" s="33" t="str">
        <f>IF($F$6&gt;=5,CONCATENATE(M9,M21),"")</f>
        <v/>
      </c>
      <c r="B21" s="1"/>
      <c r="C21" s="42" t="str">
        <f>IF($F$6&gt;=5,$C$17,"")</f>
        <v/>
      </c>
      <c r="D21" s="2"/>
      <c r="E21" s="3"/>
      <c r="F21" s="3"/>
      <c r="G21" s="3"/>
      <c r="H21" s="4"/>
      <c r="I21" s="43" t="str">
        <f>IF($F$6&gt;=5,$I$17,"")</f>
        <v/>
      </c>
      <c r="J21" s="44" t="str">
        <f>IF(OR(I21=' '!$D$8,I21=' '!$D$9,I21=' '!$D$10,I21=' '!$D$11),IF($J$17="",' '!$D$13,$J$17),"")</f>
        <v/>
      </c>
      <c r="K21" s="44" t="str">
        <f>IF(OR(I21=' '!$D$8,I21=' '!$D$9,I21=' '!$D$10,I21=' '!$D$11),IF($K$17="",' '!$F$5,$K$17),"")</f>
        <v/>
      </c>
      <c r="L21" s="1" t="str">
        <f>IF(I21="","",IF(I21=$I$17,$L$17,IF(OR(I21=' '!$D$5,I21=' '!$D$6,I21=' '!$D$7),"",IF(OR(I21=' '!$D$8,I21=' '!$D$10,I21=' '!$D$9,I21=' '!$D$11),' '!$H$5))))</f>
        <v/>
      </c>
      <c r="M21" s="9" t="str">
        <f>IF($F$6&gt;=5,IF(OR(F21&gt;82.99,AND(E21&gt;60.9,F21&gt;68.9),AND(E21&gt;58.9,F21&gt;70.9),AND(E21&gt;56.9,F21&gt;72.9),AND(E21&gt;54.9,F21&gt;74.9),AND(E21&gt;52.9,F21&gt;76.9),AND(E21&gt;50.9,F21&gt;80.9)),", IT*",""),"")</f>
        <v/>
      </c>
    </row>
    <row r="22" spans="1:14" ht="35.1" customHeight="1" x14ac:dyDescent="0.25">
      <c r="A22" s="33" t="str">
        <f>IF($F$6&gt;=6,CONCATENATE(M10,M22),"")</f>
        <v/>
      </c>
      <c r="B22" s="1"/>
      <c r="C22" s="42" t="str">
        <f>IF($F$6&gt;=6,$C$17,"")</f>
        <v/>
      </c>
      <c r="D22" s="2"/>
      <c r="E22" s="3"/>
      <c r="F22" s="3"/>
      <c r="G22" s="3"/>
      <c r="H22" s="4"/>
      <c r="I22" s="43" t="str">
        <f>IF($F$6&gt;=6,$I$17,"")</f>
        <v/>
      </c>
      <c r="J22" s="44" t="str">
        <f>IF(OR(I22=' '!$D$8,I22=' '!$D$9,I22=' '!$D$10,I22=' '!$D$11),IF($J$17="",' '!$D$13,$J$17),"")</f>
        <v/>
      </c>
      <c r="K22" s="44" t="str">
        <f>IF(OR(I22=' '!$D$8,I22=' '!$D$9,I22=' '!$D$10,I22=' '!$D$11),IF($K$17="",' '!$F$5,$K$17),"")</f>
        <v/>
      </c>
      <c r="L22" s="1" t="str">
        <f>IF(I22="","",IF(I22=$I$17,$L$17,IF(OR(I22=' '!$D$5,I22=' '!$D$6,I22=' '!$D$7),"",IF(OR(I22=' '!$D$8,I22=' '!$D$10,I22=' '!$D$9,I22=' '!$D$11),' '!$H$5))))</f>
        <v/>
      </c>
      <c r="M22" s="9" t="str">
        <f>IF($F$6&gt;=6,IF(OR(F22&gt;82.99,AND(E22&gt;60.9,F22&gt;68.9),AND(E22&gt;58.9,F22&gt;70.9),AND(E22&gt;56.9,F22&gt;72.9),AND(E22&gt;54.9,F22&gt;74.9),AND(E22&gt;52.9,F22&gt;76.9),AND(E22&gt;50.9,F22&gt;80.9)),", IT*",""),"")</f>
        <v/>
      </c>
    </row>
    <row r="23" spans="1:14" ht="35.1" customHeight="1" x14ac:dyDescent="0.25">
      <c r="A23" s="33" t="str">
        <f>IF($F$6&gt;=7,CONCATENATE(M11,M23),"")</f>
        <v/>
      </c>
      <c r="B23" s="1"/>
      <c r="C23" s="42" t="str">
        <f>IF($F$6&gt;=7,$C$17,"")</f>
        <v/>
      </c>
      <c r="D23" s="2"/>
      <c r="E23" s="3"/>
      <c r="F23" s="3"/>
      <c r="G23" s="3"/>
      <c r="H23" s="4"/>
      <c r="I23" s="43" t="str">
        <f>IF($F$6&gt;=7,$I$17,"")</f>
        <v/>
      </c>
      <c r="J23" s="44" t="str">
        <f>IF(OR(I23=' '!$D$8,I23=' '!$D$9,I23=' '!$D$10,I23=' '!$D$11),IF($J$17="",' '!$D$13,$J$17),"")</f>
        <v/>
      </c>
      <c r="K23" s="44" t="str">
        <f>IF(OR(I23=' '!$D$8,I23=' '!$D$9,I23=' '!$D$10,I23=' '!$D$11),IF($K$17="",' '!$F$5,$K$17),"")</f>
        <v/>
      </c>
      <c r="L23" s="1" t="str">
        <f>IF(I23="","",IF(I23=$I$17,$L$17,IF(OR(I23=' '!$D$5,I23=' '!$D$6,I23=' '!$D$7),"",IF(OR(I23=' '!$D$8,I23=' '!$D$10,I23=' '!$D$9,I23=' '!$D$11),' '!$H$5))))</f>
        <v/>
      </c>
      <c r="M23" s="9" t="str">
        <f>IF($F$6&gt;=7,IF(OR(F23&gt;82.99,AND(E23&gt;60.9,F23&gt;68.9),AND(E23&gt;58.9,F23&gt;70.9),AND(E23&gt;56.9,F23&gt;72.9),AND(E23&gt;54.9,F23&gt;74.9),AND(E23&gt;52.9,F23&gt;76.9),AND(E23&gt;50.9,F23&gt;80.9)),", IT*",""),"")</f>
        <v/>
      </c>
    </row>
    <row r="24" spans="1:14" ht="35.1" customHeight="1" x14ac:dyDescent="0.25">
      <c r="A24" s="33" t="str">
        <f>IF($F$6&gt;=8,CONCATENATE(M12,M24),"")</f>
        <v/>
      </c>
      <c r="B24" s="1"/>
      <c r="C24" s="42" t="str">
        <f>IF($F$6&gt;=8,$C$17,"")</f>
        <v/>
      </c>
      <c r="D24" s="2"/>
      <c r="E24" s="3"/>
      <c r="F24" s="3"/>
      <c r="G24" s="3"/>
      <c r="H24" s="4"/>
      <c r="I24" s="43" t="str">
        <f>IF($F$6&gt;=8,$I$17,"")</f>
        <v/>
      </c>
      <c r="J24" s="44" t="str">
        <f>IF(OR(I24=' '!$D$8,I24=' '!$D$9,I24=' '!$D$10,I24=' '!$D$11),IF($J$17="",' '!$D$13,$J$17),"")</f>
        <v/>
      </c>
      <c r="K24" s="44" t="str">
        <f>IF(OR(I24=' '!$D$8,I24=' '!$D$9,I24=' '!$D$10,I24=' '!$D$11),IF($K$17="",' '!$F$5,$K$17),"")</f>
        <v/>
      </c>
      <c r="L24" s="1" t="str">
        <f>IF(I24="","",IF(I24=$I$17,$L$17,IF(OR(I24=' '!$D$5,I24=' '!$D$6,I24=' '!$D$7),"",IF(OR(I24=' '!$D$8,I24=' '!$D$10,I24=' '!$D$9,I24=' '!$D$11),' '!$H$5))))</f>
        <v/>
      </c>
      <c r="M24" s="9" t="str">
        <f>IF($F$6&gt;=8,IF(OR(F24&gt;82.99,AND(E24&gt;60.9,F24&gt;68.9),AND(E24&gt;58.9,F24&gt;70.9),AND(E24&gt;56.9,F24&gt;72.9),AND(E24&gt;54.9,F24&gt;74.9),AND(E24&gt;52.9,F24&gt;76.9),AND(E24&gt;50.9,F24&gt;80.9)),", IT*",""),"")</f>
        <v/>
      </c>
    </row>
    <row r="25" spans="1:14" ht="35.1" customHeight="1" x14ac:dyDescent="0.25">
      <c r="A25" s="33" t="str">
        <f>IF($F$6&gt;=9,CONCATENATE(M13,M25),"")</f>
        <v/>
      </c>
      <c r="B25" s="1"/>
      <c r="C25" s="42" t="str">
        <f>IF($F$6&gt;=9,$C$17,"")</f>
        <v/>
      </c>
      <c r="D25" s="2"/>
      <c r="E25" s="3"/>
      <c r="F25" s="3"/>
      <c r="G25" s="3"/>
      <c r="H25" s="4"/>
      <c r="I25" s="43" t="str">
        <f>IF($F$6&gt;=9,$I$17,"")</f>
        <v/>
      </c>
      <c r="J25" s="44" t="str">
        <f>IF(OR(I25=' '!$D$8,I25=' '!$D$9,I25=' '!$D$10,I25=' '!$D$11),IF($J$17="",' '!$D$13,$J$17),"")</f>
        <v/>
      </c>
      <c r="K25" s="44" t="str">
        <f>IF(OR(I25=' '!$D$8,I25=' '!$D$9,I25=' '!$D$10,I25=' '!$D$11),IF($K$17="",' '!$F$5,$K$17),"")</f>
        <v/>
      </c>
      <c r="L25" s="1" t="str">
        <f>IF(I25="","",IF(I25=$I$17,$L$17,IF(OR(I25=' '!$D$5,I25=' '!$D$6,I25=' '!$D$7),"",IF(OR(I25=' '!$D$8,I25=' '!$D$10,I25=' '!$D$9,I25=' '!$D$11),' '!$H$5))))</f>
        <v/>
      </c>
      <c r="M25" s="9" t="str">
        <f>IF($F$6&gt;=9,IF(OR(F25&gt;82.99,AND(E25&gt;60.9,F25&gt;68.9),AND(E25&gt;58.9,F25&gt;70.9),AND(E25&gt;56.9,F25&gt;72.9),AND(E25&gt;54.9,F25&gt;74.9),AND(E25&gt;52.9,F25&gt;76.9),AND(E25&gt;50.9,F25&gt;80.9)),", IT*",""),"")</f>
        <v/>
      </c>
    </row>
    <row r="26" spans="1:14" ht="35.1" customHeight="1" thickBot="1" x14ac:dyDescent="0.3">
      <c r="A26" s="35" t="str">
        <f>IF($F$6&gt;=10,CONCATENATE(M14,M26),"")</f>
        <v/>
      </c>
      <c r="B26" s="5"/>
      <c r="C26" s="45" t="str">
        <f>IF($F$6&gt;=10,$C$17,"")</f>
        <v/>
      </c>
      <c r="D26" s="6"/>
      <c r="E26" s="7"/>
      <c r="F26" s="7"/>
      <c r="G26" s="7"/>
      <c r="H26" s="8"/>
      <c r="I26" s="46" t="str">
        <f>IF($F$6&gt;=10,$I$17,"")</f>
        <v/>
      </c>
      <c r="J26" s="47" t="str">
        <f>IF(OR(I26=' '!$D$8,I26=' '!$D$9,I26=' '!$D$10,I26=' '!$D$11),IF($J$17="",' '!$D$13,$J$17),"")</f>
        <v/>
      </c>
      <c r="K26" s="47" t="str">
        <f>IF(OR(I26=' '!$D$8,I26=' '!$D$9,I26=' '!$D$10,I26=' '!$D$11),IF($K$17="",' '!$F$5,$K$17),"")</f>
        <v/>
      </c>
      <c r="L26" s="1" t="str">
        <f>IF(I26="","",IF(I26=$I$17,$L$17,IF(OR(I26=' '!$D$5,I26=' '!$D$6,I26=' '!$D$7),"",IF(OR(I26=' '!$D$8,I26=' '!$D$10,I26=' '!$D$9,I26=' '!$D$11),' '!$H$5))))</f>
        <v/>
      </c>
      <c r="M26" s="9" t="str">
        <f>IF($F$6&gt;=10,IF(OR(F26&gt;82.99,AND(E26&gt;60.9,F26&gt;68.9),AND(E26&gt;58.9,F26&gt;70.9),AND(E26&gt;56.9,F26&gt;72.9),AND(E26&gt;54.9,F26&gt;74.9),AND(E26&gt;52.9,F26&gt;76.9),AND(E26&gt;50.9,F26&gt;80.9)),", IT*",""),"")</f>
        <v/>
      </c>
    </row>
    <row r="27" spans="1:14" ht="9.9499999999999993" customHeight="1" thickBot="1" x14ac:dyDescent="0.3">
      <c r="A27" s="10"/>
      <c r="B27" s="10"/>
      <c r="C27" s="10"/>
      <c r="D27" s="10"/>
      <c r="E27" s="10"/>
      <c r="F27" s="10"/>
      <c r="G27" s="10"/>
      <c r="H27" s="10"/>
      <c r="I27" s="10"/>
      <c r="J27" s="10"/>
      <c r="K27" s="10"/>
      <c r="L27" s="10"/>
    </row>
    <row r="28" spans="1:14" s="24" customFormat="1" ht="34.5" customHeight="1" x14ac:dyDescent="0.3">
      <c r="A28" s="19"/>
      <c r="B28" s="20"/>
      <c r="C28" s="103" t="s">
        <v>79</v>
      </c>
      <c r="D28" s="104"/>
      <c r="E28" s="104"/>
      <c r="F28" s="105"/>
      <c r="G28" s="103" t="s">
        <v>67</v>
      </c>
      <c r="H28" s="104"/>
      <c r="I28" s="104"/>
      <c r="J28" s="104"/>
      <c r="K28" s="104"/>
      <c r="L28" s="105"/>
      <c r="M28" s="22"/>
      <c r="N28" s="23"/>
    </row>
    <row r="29" spans="1:14" ht="31.5" x14ac:dyDescent="0.25">
      <c r="A29" s="25" t="s">
        <v>263</v>
      </c>
      <c r="B29" s="28" t="s">
        <v>9</v>
      </c>
      <c r="C29" s="25" t="s">
        <v>65</v>
      </c>
      <c r="D29" s="28" t="s">
        <v>22</v>
      </c>
      <c r="E29" s="28" t="s">
        <v>21</v>
      </c>
      <c r="F29" s="29" t="s">
        <v>339</v>
      </c>
      <c r="G29" s="25" t="s">
        <v>23</v>
      </c>
      <c r="H29" s="28" t="s">
        <v>291</v>
      </c>
      <c r="I29" s="28" t="s">
        <v>68</v>
      </c>
      <c r="J29" s="28" t="s">
        <v>322</v>
      </c>
      <c r="K29" s="28" t="s">
        <v>304</v>
      </c>
      <c r="L29" s="29" t="s">
        <v>292</v>
      </c>
    </row>
    <row r="30" spans="1:14" ht="35.1" customHeight="1" x14ac:dyDescent="0.25">
      <c r="A30" s="37" t="str">
        <f t="shared" ref="A30:A39" si="1">A17</f>
        <v/>
      </c>
      <c r="B30" s="34" t="str">
        <f t="shared" ref="B30:B39" si="2">IF(B17="","",B17)</f>
        <v/>
      </c>
      <c r="C30" s="48" t="str">
        <f>IF(I17="","",IF(OR(I17=' '!$D$8,I17=' '!$D$9,I17=' '!$D$10,I17=' '!$D$11),' '!$J$7,' '!$J$5))</f>
        <v/>
      </c>
      <c r="D30" s="44" t="str">
        <f>IF($F$6&gt;=1,' '!$L$5,"")</f>
        <v/>
      </c>
      <c r="E30" s="44" t="str">
        <f>IF($F$6&gt;=1,' '!$N$5,"")</f>
        <v/>
      </c>
      <c r="F30" s="49" t="str">
        <f>IF(E30="","",IF(OR(E30=' '!$N$7,E30=' '!$N$8),"SPECIFY REQUIRED LENGTH","N/A"))</f>
        <v/>
      </c>
      <c r="G30" s="43" t="str">
        <f>IF($F$6&gt;=1,' '!$B$20,"")</f>
        <v/>
      </c>
      <c r="H30" s="44" t="str">
        <f>IF($F$6&gt;=1,' '!$D$19,"")</f>
        <v/>
      </c>
      <c r="I30" s="44" t="str">
        <f>IF($F$6&gt;=1,' '!F19,"")</f>
        <v/>
      </c>
      <c r="J30" s="44" t="str">
        <f>IF($F$6&gt;=1,' '!H19,"")</f>
        <v/>
      </c>
      <c r="K30" s="44" t="str">
        <f>IF($F$6&gt;=1,' '!J19,"")</f>
        <v/>
      </c>
      <c r="L30" s="1" t="str">
        <f>IF(OR(K30=' '!J19,K30=""),"",' '!L19)</f>
        <v/>
      </c>
    </row>
    <row r="31" spans="1:14" ht="35.1" customHeight="1" x14ac:dyDescent="0.25">
      <c r="A31" s="37" t="str">
        <f t="shared" si="1"/>
        <v/>
      </c>
      <c r="B31" s="34" t="str">
        <f t="shared" si="2"/>
        <v/>
      </c>
      <c r="C31" s="48" t="str">
        <f>IF(I18="","",IF(I18=' '!$D$5,' '!$J$5,$C$30))</f>
        <v/>
      </c>
      <c r="D31" s="44" t="str">
        <f>IF($F$6&gt;=2,$D$30,"")</f>
        <v/>
      </c>
      <c r="E31" s="44" t="str">
        <f>IF($F$6&gt;=2,IF(OR($E$30=' '!$N$7,$E$30=' '!$N$8),' '!N13,E30),"")</f>
        <v/>
      </c>
      <c r="F31" s="49" t="str">
        <f>IF(E31="","",IF(OR(E31=' '!$N$7,E31=' '!$N$8),"SPECIFY REQUIRED LENGTH","N/A"))</f>
        <v/>
      </c>
      <c r="G31" s="43" t="str">
        <f>IF($F$6&gt;=2,$G$30,"")</f>
        <v/>
      </c>
      <c r="H31" s="44" t="str">
        <f>IF($F$6&gt;=2,$H$30,"")</f>
        <v/>
      </c>
      <c r="I31" s="44" t="str">
        <f>IF($F$6&gt;=2,$I$30,"")</f>
        <v/>
      </c>
      <c r="J31" s="44" t="str">
        <f>IF($F$6&gt;=2,$J$30,"")</f>
        <v/>
      </c>
      <c r="K31" s="44" t="str">
        <f>IF($F$6&gt;=2,$K$30,"")</f>
        <v/>
      </c>
      <c r="L31" s="1" t="str">
        <f>IF(K31="","",$L$30)</f>
        <v/>
      </c>
    </row>
    <row r="32" spans="1:14" ht="35.1" customHeight="1" x14ac:dyDescent="0.25">
      <c r="A32" s="37" t="str">
        <f t="shared" si="1"/>
        <v/>
      </c>
      <c r="B32" s="34" t="str">
        <f t="shared" si="2"/>
        <v/>
      </c>
      <c r="C32" s="48" t="str">
        <f>IF(I19="","",IF(I19=' '!$D$5,' '!$J$5,$C$30))</f>
        <v/>
      </c>
      <c r="D32" s="44" t="str">
        <f>IF($F$6&gt;=3,$D$30,"")</f>
        <v/>
      </c>
      <c r="E32" s="44" t="str">
        <f>IF($F$6&gt;=3,IF(OR($E$30=' '!$N$7,$E$30=' '!$N$8),' '!N13,E30),"")</f>
        <v/>
      </c>
      <c r="F32" s="49" t="str">
        <f>IF(E32="","",IF(OR(E32=' '!$N$7,E32=' '!$N$8),"SPECIFY REQUIRED LENGTH","N/A"))</f>
        <v/>
      </c>
      <c r="G32" s="43" t="str">
        <f>IF($F$6&gt;=3,$G$30,"")</f>
        <v/>
      </c>
      <c r="H32" s="44" t="str">
        <f>IF($F$6&gt;=3,$H$30,"")</f>
        <v/>
      </c>
      <c r="I32" s="44" t="str">
        <f>IF($F$6&gt;=3,$I$30,"")</f>
        <v/>
      </c>
      <c r="J32" s="44" t="str">
        <f>IF($F$6&gt;=3,$J$30,"")</f>
        <v/>
      </c>
      <c r="K32" s="44" t="str">
        <f>IF($F$6&gt;=3,$K$30,"")</f>
        <v/>
      </c>
      <c r="L32" s="1" t="str">
        <f t="shared" ref="L32:L39" si="3">IF(K32="","",$L$30)</f>
        <v/>
      </c>
    </row>
    <row r="33" spans="1:14" ht="35.1" customHeight="1" x14ac:dyDescent="0.25">
      <c r="A33" s="37" t="str">
        <f t="shared" si="1"/>
        <v/>
      </c>
      <c r="B33" s="34" t="str">
        <f t="shared" si="2"/>
        <v/>
      </c>
      <c r="C33" s="48" t="str">
        <f>IF(I20="","",IF(I20=' '!$D$5,' '!$J$5,$C$30))</f>
        <v/>
      </c>
      <c r="D33" s="44" t="str">
        <f>IF($F$6&gt;=4,$D$30,"")</f>
        <v/>
      </c>
      <c r="E33" s="44" t="str">
        <f>IF($F$6&gt;=4,IF(OR($E$30=' '!$N$7,$E$30=' '!$N$8),' '!N13,E30),"")</f>
        <v/>
      </c>
      <c r="F33" s="49" t="str">
        <f>IF(E33="","",IF(OR(E33=' '!$N$7,E33=' '!$N$8),"SPECIFY REQUIRED LENGTH","N/A"))</f>
        <v/>
      </c>
      <c r="G33" s="43" t="str">
        <f>IF($F$6&gt;=4,$G$30,"")</f>
        <v/>
      </c>
      <c r="H33" s="44" t="str">
        <f>IF($F$6&gt;=4,$H$30,"")</f>
        <v/>
      </c>
      <c r="I33" s="44" t="str">
        <f>IF($F$6&gt;=4,$I$30,"")</f>
        <v/>
      </c>
      <c r="J33" s="44" t="str">
        <f>IF($F$6&gt;=4,$J$30,"")</f>
        <v/>
      </c>
      <c r="K33" s="44" t="str">
        <f>IF($F$6&gt;=4,$K$30,"")</f>
        <v/>
      </c>
      <c r="L33" s="1" t="str">
        <f t="shared" si="3"/>
        <v/>
      </c>
    </row>
    <row r="34" spans="1:14" ht="35.1" customHeight="1" x14ac:dyDescent="0.25">
      <c r="A34" s="37" t="str">
        <f t="shared" si="1"/>
        <v/>
      </c>
      <c r="B34" s="34" t="str">
        <f t="shared" si="2"/>
        <v/>
      </c>
      <c r="C34" s="48" t="str">
        <f>IF(I21="","",IF(I21=' '!$D$5,' '!$J$5,$C$30))</f>
        <v/>
      </c>
      <c r="D34" s="44" t="str">
        <f>IF($F$6&gt;=5,$D$30,"")</f>
        <v/>
      </c>
      <c r="E34" s="44" t="str">
        <f>IF($F$6&gt;=5,IF(OR($E$30=' '!$N$7,$E$30=' '!$N$8),' '!N13,E30),"")</f>
        <v/>
      </c>
      <c r="F34" s="49" t="str">
        <f>IF(E34="","",IF(OR(E34=' '!$N$7,E34=' '!$N$8),"SPECIFY REQUIRED LENGTH","N/A"))</f>
        <v/>
      </c>
      <c r="G34" s="43" t="str">
        <f>IF($F$6&gt;=5,$G$30,"")</f>
        <v/>
      </c>
      <c r="H34" s="44" t="str">
        <f>IF($F$6&gt;=5,$H$30,"")</f>
        <v/>
      </c>
      <c r="I34" s="44" t="str">
        <f>IF($F$6&gt;=5,$I$30,"")</f>
        <v/>
      </c>
      <c r="J34" s="44" t="str">
        <f>IF($F$6&gt;=5,$J$30,"")</f>
        <v/>
      </c>
      <c r="K34" s="44" t="str">
        <f>IF($F$6&gt;=5,$K$30,"")</f>
        <v/>
      </c>
      <c r="L34" s="1" t="str">
        <f t="shared" si="3"/>
        <v/>
      </c>
    </row>
    <row r="35" spans="1:14" ht="35.1" customHeight="1" x14ac:dyDescent="0.25">
      <c r="A35" s="37" t="str">
        <f t="shared" si="1"/>
        <v/>
      </c>
      <c r="B35" s="34" t="str">
        <f t="shared" si="2"/>
        <v/>
      </c>
      <c r="C35" s="48" t="str">
        <f>IF(I22="","",IF(I22=' '!$D$5,' '!$J$5,$C$30))</f>
        <v/>
      </c>
      <c r="D35" s="44" t="str">
        <f>IF($F$6&gt;=6,$D$30,"")</f>
        <v/>
      </c>
      <c r="E35" s="44" t="str">
        <f>IF($F$6&gt;=6,IF(OR($E$30=' '!$N$7,$E$30=' '!$N$8),' '!N13,E30),"")</f>
        <v/>
      </c>
      <c r="F35" s="49" t="str">
        <f>IF(E35="","",IF(OR(E35=' '!$N$7,E35=' '!$N$8),"SPECIFY REQUIRED LENGTH","N/A"))</f>
        <v/>
      </c>
      <c r="G35" s="43" t="str">
        <f>IF($F$6&gt;=6,$G$30,"")</f>
        <v/>
      </c>
      <c r="H35" s="44" t="str">
        <f>IF($F$6&gt;=6,$H$30,"")</f>
        <v/>
      </c>
      <c r="I35" s="44" t="str">
        <f>IF($F$6&gt;=6,$I$30,"")</f>
        <v/>
      </c>
      <c r="J35" s="44" t="str">
        <f>IF($F$6&gt;=6,$J$30,"")</f>
        <v/>
      </c>
      <c r="K35" s="44" t="str">
        <f>IF($F$6&gt;=6,$K$30,"")</f>
        <v/>
      </c>
      <c r="L35" s="1" t="str">
        <f t="shared" si="3"/>
        <v/>
      </c>
    </row>
    <row r="36" spans="1:14" ht="35.1" customHeight="1" x14ac:dyDescent="0.25">
      <c r="A36" s="37" t="str">
        <f t="shared" si="1"/>
        <v/>
      </c>
      <c r="B36" s="34" t="str">
        <f t="shared" si="2"/>
        <v/>
      </c>
      <c r="C36" s="48" t="str">
        <f>IF(I23="","",IF(I23=' '!$D$5,' '!$J$5,$C$30))</f>
        <v/>
      </c>
      <c r="D36" s="44" t="str">
        <f>IF($F$6&gt;=7,$D$30,"")</f>
        <v/>
      </c>
      <c r="E36" s="44" t="str">
        <f>IF($F$6&gt;=7,IF(OR($E$30=' '!$N$7,$E$30=' '!$N$8),' '!N13,E30),"")</f>
        <v/>
      </c>
      <c r="F36" s="49" t="str">
        <f>IF(E36="","",IF(OR(E36=' '!$N$7,E36=' '!$N$8),"SPECIFY REQUIRED LENGTH","N/A"))</f>
        <v/>
      </c>
      <c r="G36" s="43" t="str">
        <f>IF($F$6&gt;=7,$G$30,"")</f>
        <v/>
      </c>
      <c r="H36" s="44" t="str">
        <f>IF($F$6&gt;=7,$H$30,"")</f>
        <v/>
      </c>
      <c r="I36" s="44" t="str">
        <f>IF($F$6&gt;=7,$I$30,"")</f>
        <v/>
      </c>
      <c r="J36" s="44" t="str">
        <f>IF($F$6&gt;=7,$J$30,"")</f>
        <v/>
      </c>
      <c r="K36" s="44" t="str">
        <f>IF($F$6&gt;=7,$K$30,"")</f>
        <v/>
      </c>
      <c r="L36" s="1" t="str">
        <f t="shared" si="3"/>
        <v/>
      </c>
    </row>
    <row r="37" spans="1:14" ht="35.1" customHeight="1" x14ac:dyDescent="0.25">
      <c r="A37" s="37" t="str">
        <f t="shared" si="1"/>
        <v/>
      </c>
      <c r="B37" s="34" t="str">
        <f t="shared" si="2"/>
        <v/>
      </c>
      <c r="C37" s="48" t="str">
        <f>IF(I24="","",IF(I24=' '!$D$5,' '!$J$5,$C$30))</f>
        <v/>
      </c>
      <c r="D37" s="44" t="str">
        <f>IF($F$6&gt;=8,$D$30,"")</f>
        <v/>
      </c>
      <c r="E37" s="44" t="str">
        <f>IF($F$6&gt;=8,IF(OR($E$30=' '!$N$7,$E$30=' '!$N$8),' '!N13,E30),"")</f>
        <v/>
      </c>
      <c r="F37" s="49" t="str">
        <f>IF(E37="","",IF(OR(E37=' '!$N$7,E37=' '!$N$8),"SPECIFY REQUIRED LENGTH","N/A"))</f>
        <v/>
      </c>
      <c r="G37" s="43" t="str">
        <f>IF($F$6&gt;=8,$G$30,"")</f>
        <v/>
      </c>
      <c r="H37" s="44" t="str">
        <f>IF($F$6&gt;=8,$H$30,"")</f>
        <v/>
      </c>
      <c r="I37" s="44" t="str">
        <f>IF($F$6&gt;=8,$I$30,"")</f>
        <v/>
      </c>
      <c r="J37" s="44" t="str">
        <f>IF($F$6&gt;=8,$J$30,"")</f>
        <v/>
      </c>
      <c r="K37" s="44" t="str">
        <f>IF($F$6&gt;=8,$K$30,"")</f>
        <v/>
      </c>
      <c r="L37" s="1" t="str">
        <f t="shared" si="3"/>
        <v/>
      </c>
    </row>
    <row r="38" spans="1:14" ht="35.1" customHeight="1" x14ac:dyDescent="0.25">
      <c r="A38" s="37" t="str">
        <f t="shared" si="1"/>
        <v/>
      </c>
      <c r="B38" s="34" t="str">
        <f t="shared" si="2"/>
        <v/>
      </c>
      <c r="C38" s="48" t="str">
        <f>IF(I25="","",IF(I25=' '!$D$5,' '!$J$5,$C$30))</f>
        <v/>
      </c>
      <c r="D38" s="44" t="str">
        <f>IF($F$6&gt;=9,$D$30,"")</f>
        <v/>
      </c>
      <c r="E38" s="44" t="str">
        <f>IF($F$6&gt;=9,IF(OR($E$30=' '!$N$7,$E$30=' '!$N$8),' '!N13,E30),"")</f>
        <v/>
      </c>
      <c r="F38" s="49" t="str">
        <f>IF(E38="","",IF(OR(E38=' '!$N$7,E38=' '!$N$8),"SPECIFY REQUIRED LENGTH","N/A"))</f>
        <v/>
      </c>
      <c r="G38" s="43" t="str">
        <f>IF($F$6&gt;=9,$G$30,"")</f>
        <v/>
      </c>
      <c r="H38" s="44" t="str">
        <f>IF($F$6&gt;=9,$H$30,"")</f>
        <v/>
      </c>
      <c r="I38" s="44" t="str">
        <f>IF($F$6&gt;=9,$I$30,"")</f>
        <v/>
      </c>
      <c r="J38" s="44" t="str">
        <f>IF($F$6&gt;=9,$J$30,"")</f>
        <v/>
      </c>
      <c r="K38" s="44" t="str">
        <f>IF($F$6&gt;=9,$K$30,"")</f>
        <v/>
      </c>
      <c r="L38" s="1" t="str">
        <f t="shared" si="3"/>
        <v/>
      </c>
    </row>
    <row r="39" spans="1:14" ht="35.1" customHeight="1" thickBot="1" x14ac:dyDescent="0.3">
      <c r="A39" s="38" t="str">
        <f t="shared" si="1"/>
        <v/>
      </c>
      <c r="B39" s="36" t="str">
        <f t="shared" si="2"/>
        <v/>
      </c>
      <c r="C39" s="50" t="str">
        <f>IF(I26="","",IF(I26=' '!$D$5,' '!$J$5,$C$30))</f>
        <v/>
      </c>
      <c r="D39" s="47" t="str">
        <f>IF($F$6&gt;=10,$D$30,"")</f>
        <v/>
      </c>
      <c r="E39" s="47" t="str">
        <f>IF($F$6&gt;=10,IF(OR($E$30=' '!$N$7,$E$30=' '!$N$8),' '!N13,E30),"")</f>
        <v/>
      </c>
      <c r="F39" s="51" t="str">
        <f>IF(E39="","",IF(OR(E39=' '!$N$7,E39=' '!$N$8),"SPECIFY REQUIRED LENGTH","N/A"))</f>
        <v/>
      </c>
      <c r="G39" s="46" t="str">
        <f>IF($F$6&gt;=10,$G$30,"")</f>
        <v/>
      </c>
      <c r="H39" s="47" t="str">
        <f>IF($F$6&gt;=10,$H$30,"")</f>
        <v/>
      </c>
      <c r="I39" s="47" t="str">
        <f>IF($F$6&gt;=10,$I$30,"")</f>
        <v/>
      </c>
      <c r="J39" s="47" t="str">
        <f>IF($F$6&gt;=10,$J$30,"")</f>
        <v/>
      </c>
      <c r="K39" s="47" t="str">
        <f>IF($F$6&gt;=10,$K$30,"")</f>
        <v/>
      </c>
      <c r="L39" s="5" t="str">
        <f t="shared" si="3"/>
        <v/>
      </c>
    </row>
    <row r="40" spans="1:14" ht="9.9499999999999993" customHeight="1" thickBot="1" x14ac:dyDescent="0.3">
      <c r="A40" s="10"/>
      <c r="B40" s="10"/>
      <c r="C40" s="10"/>
      <c r="D40" s="10"/>
      <c r="E40" s="10"/>
      <c r="F40" s="10"/>
      <c r="G40" s="10"/>
      <c r="H40" s="10"/>
      <c r="I40" s="10"/>
      <c r="J40" s="10"/>
      <c r="K40" s="10"/>
      <c r="L40" s="10"/>
    </row>
    <row r="41" spans="1:14" s="24" customFormat="1" ht="34.5" customHeight="1" x14ac:dyDescent="0.3">
      <c r="A41" s="19"/>
      <c r="B41" s="20"/>
      <c r="C41" s="39" t="s">
        <v>90</v>
      </c>
      <c r="D41" s="127" t="s">
        <v>428</v>
      </c>
      <c r="E41" s="129"/>
      <c r="F41" s="103" t="s">
        <v>69</v>
      </c>
      <c r="G41" s="104"/>
      <c r="H41" s="104"/>
      <c r="I41" s="105"/>
      <c r="J41" s="127" t="s">
        <v>427</v>
      </c>
      <c r="K41" s="128"/>
      <c r="L41" s="129"/>
      <c r="M41" s="22"/>
      <c r="N41" s="23"/>
    </row>
    <row r="42" spans="1:14" ht="31.5" x14ac:dyDescent="0.25">
      <c r="A42" s="25" t="s">
        <v>263</v>
      </c>
      <c r="B42" s="28" t="s">
        <v>9</v>
      </c>
      <c r="C42" s="27" t="s">
        <v>91</v>
      </c>
      <c r="D42" s="25" t="s">
        <v>76</v>
      </c>
      <c r="E42" s="29" t="s">
        <v>77</v>
      </c>
      <c r="F42" s="25" t="s">
        <v>107</v>
      </c>
      <c r="G42" s="28" t="s">
        <v>62</v>
      </c>
      <c r="H42" s="28" t="s">
        <v>50</v>
      </c>
      <c r="I42" s="29" t="s">
        <v>92</v>
      </c>
      <c r="J42" s="25" t="s">
        <v>231</v>
      </c>
      <c r="K42" s="28" t="s">
        <v>48</v>
      </c>
      <c r="L42" s="29" t="s">
        <v>47</v>
      </c>
    </row>
    <row r="43" spans="1:14" ht="35.1" customHeight="1" x14ac:dyDescent="0.25">
      <c r="A43" s="37" t="str">
        <f t="shared" ref="A43:A52" si="4">A30</f>
        <v/>
      </c>
      <c r="B43" s="34" t="str">
        <f>IF(B30="","",B30)</f>
        <v/>
      </c>
      <c r="C43" s="42" t="str">
        <f>IF(F$6="","",(IF(F17&lt;18,' '!N$44,IF(AND(E17&lt;=34,H17&lt;10.5),' '!N$45,IF(AND(E17&gt;34,E17&lt;=53,H17&lt;11.75),' '!N$46,IF(AND(E17&gt;53,H17&lt;12.375),' '!N$47,' '!N$40))))))</f>
        <v/>
      </c>
      <c r="D43" s="43" t="str">
        <f>IF($F$6&gt;=1,' '!$D$40,"")</f>
        <v/>
      </c>
      <c r="E43" s="1" t="str">
        <f>IF(OR(D43=' '!$D$40,D43=""),"",' '!$B$40)</f>
        <v/>
      </c>
      <c r="F43" s="43" t="str">
        <f>IF($F$6&gt;=1,IF(OR(D43=' '!$D$41,D43=' '!$D$42,D43=' '!$D$43),' '!$D$45,' '!$F$40),"")</f>
        <v/>
      </c>
      <c r="G43" s="44" t="str">
        <f>IF($F$6&gt;=1,' '!$H$40,"")</f>
        <v/>
      </c>
      <c r="H43" s="44" t="str">
        <f>IF(F6&gt;=1,' '!J40,"")</f>
        <v/>
      </c>
      <c r="I43" s="1" t="str">
        <f>IF($F$6&gt;=1,' '!$L$40,"")</f>
        <v/>
      </c>
      <c r="J43" s="43" t="str">
        <f>IF($F$6&gt;=1,' '!$B$53,"")</f>
        <v/>
      </c>
      <c r="K43" s="44" t="str">
        <f>IF(AND($F$6&gt;=1,J43&lt;&gt;' '!$B$53),' '!$D$53,"")</f>
        <v/>
      </c>
      <c r="L43" s="52" t="str">
        <f>IF(OR(J43=' '!$B$53,J43=""),"",' '!$F$53)</f>
        <v/>
      </c>
    </row>
    <row r="44" spans="1:14" ht="35.1" customHeight="1" x14ac:dyDescent="0.25">
      <c r="A44" s="37" t="str">
        <f t="shared" si="4"/>
        <v/>
      </c>
      <c r="B44" s="34" t="str">
        <f t="shared" ref="B44:B52" si="5">IF(B31="","",B31)</f>
        <v/>
      </c>
      <c r="C44" s="42" t="str">
        <f>IF(F$6&lt;2,"",(IF(F18&lt;18,' '!N$44,IF(AND(E18&lt;=34,H18&lt;10.5),' '!N$45,IF(AND(E18&gt;34,E18&lt;=53,H18&lt;11.75),' '!N$46,IF(AND(E18&gt;53,H18&lt;12.375),' '!N$47,' '!N$40))))))</f>
        <v/>
      </c>
      <c r="D44" s="43" t="str">
        <f>IF($F$6&gt;=2,$D$43,"")</f>
        <v/>
      </c>
      <c r="E44" s="1" t="str">
        <f>IF(OR(D44=' '!$D$40,D44=""),"",' '!$B$40)</f>
        <v/>
      </c>
      <c r="F44" s="43" t="str">
        <f>IF($F$6&gt;=2,IF(OR(D44=' '!$D$41,D44=' '!$D$42,D44=' '!$D$43),IF($F$43=' '!$F$40,' '!$D$45,$F$43),' '!$F$40),"")</f>
        <v/>
      </c>
      <c r="G44" s="44" t="str">
        <f>IF($F$6&gt;=2,$G$43,"")</f>
        <v/>
      </c>
      <c r="H44" s="44" t="str">
        <f>IF($F$6&gt;=2,$H$43,"")</f>
        <v/>
      </c>
      <c r="I44" s="1" t="str">
        <f>IF($F$6&gt;=2,$I$43,"")</f>
        <v/>
      </c>
      <c r="J44" s="43" t="str">
        <f>IF($F$6&gt;=2,$J$43,"")</f>
        <v/>
      </c>
      <c r="K44" s="44" t="str">
        <f>IF(AND($F$6&gt;=2,J44&lt;&gt;' '!$B$53),' '!$D$53,"")</f>
        <v/>
      </c>
      <c r="L44" s="52" t="str">
        <f>IF(OR(J44=' '!$B$53,J44=""),"",' '!$F$53)</f>
        <v/>
      </c>
    </row>
    <row r="45" spans="1:14" ht="35.1" customHeight="1" x14ac:dyDescent="0.25">
      <c r="A45" s="37" t="str">
        <f t="shared" si="4"/>
        <v/>
      </c>
      <c r="B45" s="34" t="str">
        <f t="shared" si="5"/>
        <v/>
      </c>
      <c r="C45" s="42" t="str">
        <f>IF(F$6&lt;3,"",(IF(F19&lt;18,' '!N$44,IF(AND(E19&lt;=34,H19&lt;10.5),' '!N$45,IF(AND(E19&gt;34,E19&lt;=53,H19&lt;11.75),' '!N$46,IF(AND(E19&gt;53,H19&lt;12.375),' '!N$47,' '!N$40))))))</f>
        <v/>
      </c>
      <c r="D45" s="43" t="str">
        <f>IF($F$6&gt;=3,$D$43,"")</f>
        <v/>
      </c>
      <c r="E45" s="1" t="str">
        <f>IF(OR(D45=' '!$D$40,D45=""),"",' '!$B$40)</f>
        <v/>
      </c>
      <c r="F45" s="43" t="str">
        <f>IF($F$6&gt;=3,IF(OR(D45=' '!$D$41,D45=' '!$D$42,D45=' '!$D$43),IF($F$43=' '!$F$40,' '!$D$45,$F$43),' '!$F$40),"")</f>
        <v/>
      </c>
      <c r="G45" s="44" t="str">
        <f>IF($F$6&gt;=3,$G$43,"")</f>
        <v/>
      </c>
      <c r="H45" s="44" t="str">
        <f>IF($F$6&gt;=3,$H$43,"")</f>
        <v/>
      </c>
      <c r="I45" s="1" t="str">
        <f>IF($F$6&gt;=3,$I$43,"")</f>
        <v/>
      </c>
      <c r="J45" s="43" t="str">
        <f>IF($F$6&gt;=3,$J$43,"")</f>
        <v/>
      </c>
      <c r="K45" s="44" t="str">
        <f>IF(AND($F$6&gt;=3,J45&lt;&gt;' '!$B$53),' '!$D$53,"")</f>
        <v/>
      </c>
      <c r="L45" s="52" t="str">
        <f>IF(OR(J45=' '!$B$53,J45=""),"",' '!$F$53)</f>
        <v/>
      </c>
    </row>
    <row r="46" spans="1:14" ht="35.1" customHeight="1" x14ac:dyDescent="0.25">
      <c r="A46" s="37" t="str">
        <f t="shared" si="4"/>
        <v/>
      </c>
      <c r="B46" s="34" t="str">
        <f t="shared" si="5"/>
        <v/>
      </c>
      <c r="C46" s="42" t="str">
        <f>IF(F$6 &lt;4,"",(IF(F20&lt;18,' '!N$44,IF(AND(E20&lt;=34,H20&lt;10.5),' '!N$45,IF(AND(E20&gt;34,E20&lt;=53,H20&lt;11.75),' '!N$46,IF(AND(E20&gt;53,H20&lt;12.375),' '!N$47,' '!N$40))))))</f>
        <v/>
      </c>
      <c r="D46" s="43" t="str">
        <f>IF($F$6&gt;=4,$D$43,"")</f>
        <v/>
      </c>
      <c r="E46" s="1" t="str">
        <f>IF(OR(D46=' '!$D$40,D46=""),"",' '!$B$40)</f>
        <v/>
      </c>
      <c r="F46" s="43" t="str">
        <f>IF($F$6&gt;=4,IF(OR(D46=' '!$D$41,D46=' '!$D$42,D46=' '!$D$43),IF($F$43=' '!$F$40,' '!$D$45,$F$43),' '!$F$40),"")</f>
        <v/>
      </c>
      <c r="G46" s="44" t="str">
        <f>IF($F$6&gt;=4,$G$43,"")</f>
        <v/>
      </c>
      <c r="H46" s="44" t="str">
        <f>IF($F$6&gt;=4,$H$43,"")</f>
        <v/>
      </c>
      <c r="I46" s="1" t="str">
        <f>IF($F$6&gt;=4,$I$43,"")</f>
        <v/>
      </c>
      <c r="J46" s="43" t="str">
        <f>IF($F$6&gt;=4,$J$43,"")</f>
        <v/>
      </c>
      <c r="K46" s="44" t="str">
        <f>IF(AND($F$6&gt;=4,J46&lt;&gt;' '!$B$53),' '!$D$53,"")</f>
        <v/>
      </c>
      <c r="L46" s="52" t="str">
        <f>IF(OR(J46=' '!$B$53,J46=""),"",' '!$F$53)</f>
        <v/>
      </c>
    </row>
    <row r="47" spans="1:14" ht="35.1" customHeight="1" x14ac:dyDescent="0.25">
      <c r="A47" s="37" t="str">
        <f t="shared" si="4"/>
        <v/>
      </c>
      <c r="B47" s="34" t="str">
        <f t="shared" si="5"/>
        <v/>
      </c>
      <c r="C47" s="42" t="str">
        <f>IF(F$6 &lt;5,"",(IF(F21&lt;18,' '!N$44,IF(AND(E21&lt;=34,H21&lt;10.5),' '!N$45,IF(AND(E21&gt;34,E21&lt;=53,H21&lt;11.75),' '!N$46,IF(AND(E21&gt;53,H21&lt;12.375),' '!N$47,' '!N$40))))))</f>
        <v/>
      </c>
      <c r="D47" s="43" t="str">
        <f>IF($F$6&gt;=5,$D$43,"")</f>
        <v/>
      </c>
      <c r="E47" s="1" t="str">
        <f>IF(OR(D47=' '!$D$40,D47=""),"",' '!$B$40)</f>
        <v/>
      </c>
      <c r="F47" s="43" t="str">
        <f>IF($F$6&gt;=5,IF(OR(D47=' '!$D$41,D47=' '!$D$42,D47=' '!$D$43),IF($F$43=' '!$F$40,' '!$D$45,$F$43),' '!$F$40),"")</f>
        <v/>
      </c>
      <c r="G47" s="44" t="str">
        <f>IF($F$6&gt;=5,$G$43,"")</f>
        <v/>
      </c>
      <c r="H47" s="44" t="str">
        <f>IF($F$6&gt;=5,$H$43,"")</f>
        <v/>
      </c>
      <c r="I47" s="1" t="str">
        <f>IF($F$6&gt;=5,$I$43,"")</f>
        <v/>
      </c>
      <c r="J47" s="43" t="str">
        <f>IF($F$6&gt;=5,$J$43,"")</f>
        <v/>
      </c>
      <c r="K47" s="44" t="str">
        <f>IF(AND($F$6&gt;=5,J47&lt;&gt;' '!$B$53),' '!$D$53,"")</f>
        <v/>
      </c>
      <c r="L47" s="52" t="str">
        <f>IF(OR(J47=' '!$B$53,J47=""),"",' '!$F$53)</f>
        <v/>
      </c>
    </row>
    <row r="48" spans="1:14" ht="35.1" customHeight="1" x14ac:dyDescent="0.25">
      <c r="A48" s="37" t="str">
        <f t="shared" si="4"/>
        <v/>
      </c>
      <c r="B48" s="34" t="str">
        <f t="shared" si="5"/>
        <v/>
      </c>
      <c r="C48" s="42" t="str">
        <f>IF(F$6 &lt;6,"",(IF(F22&lt;18,' '!N$44,IF(AND(E22&lt;=34,H22&lt;10.5),' '!N$45,IF(AND(E22&gt;34,E22&lt;=53,H22&lt;11.75),' '!N$46,IF(AND(E22&gt;53,H22&lt;12.375),' '!N$47,' '!N$40))))))</f>
        <v/>
      </c>
      <c r="D48" s="43" t="str">
        <f>IF($F$6&gt;=6,$D$43,"")</f>
        <v/>
      </c>
      <c r="E48" s="1" t="str">
        <f>IF(OR(D48=' '!$D$40,D48=""),"",' '!$B$40)</f>
        <v/>
      </c>
      <c r="F48" s="43" t="str">
        <f>IF($F$6&gt;=6,IF(OR(D48=' '!$D$41,D48=' '!$D$42,D48=' '!$D$43),IF($F$43=' '!$F$40,' '!$D$45,$F$43),' '!$F$40),"")</f>
        <v/>
      </c>
      <c r="G48" s="44" t="str">
        <f>IF($F$6&gt;=6,$G$43,"")</f>
        <v/>
      </c>
      <c r="H48" s="44" t="str">
        <f>IF($F$6&gt;=6,$H$43,"")</f>
        <v/>
      </c>
      <c r="I48" s="1" t="str">
        <f>IF($F$6&gt;=6,$I$43,"")</f>
        <v/>
      </c>
      <c r="J48" s="43" t="str">
        <f>IF($F$6&gt;=6,$J$43,"")</f>
        <v/>
      </c>
      <c r="K48" s="44" t="str">
        <f>IF(AND($F$6&gt;=6,J48&lt;&gt;' '!$B$53),' '!$D$53,"")</f>
        <v/>
      </c>
      <c r="L48" s="52" t="str">
        <f>IF(OR(J48=' '!$B$53,J48=""),"",' '!$F$53)</f>
        <v/>
      </c>
    </row>
    <row r="49" spans="1:13" ht="35.1" customHeight="1" x14ac:dyDescent="0.25">
      <c r="A49" s="37" t="str">
        <f t="shared" si="4"/>
        <v/>
      </c>
      <c r="B49" s="34" t="str">
        <f t="shared" si="5"/>
        <v/>
      </c>
      <c r="C49" s="42" t="str">
        <f>IF(F$7 &lt;7,"",(IF(F23&lt;18,' '!N$44,IF(AND(E23&lt;=34,H23&lt;10.5),' '!N$45,IF(AND(E23&gt;34,E23&lt;=53,H23&lt;11.75),' '!N$46,IF(AND(E23&gt;53,H23&lt;12.375),' '!N$47,' '!N$40))))))</f>
        <v/>
      </c>
      <c r="D49" s="43" t="str">
        <f>IF($F$6&gt;=7,$D$43,"")</f>
        <v/>
      </c>
      <c r="E49" s="1" t="str">
        <f>IF(OR(D49=' '!$D$40,D49=""),"",' '!$B$40)</f>
        <v/>
      </c>
      <c r="F49" s="43" t="str">
        <f>IF($F$6&gt;=7,IF(OR(D49=' '!$D$41,D49=' '!$D$42,D49=' '!$D$43),IF($F$43=' '!$F$40,' '!$D$45,$F$43),' '!$F$40),"")</f>
        <v/>
      </c>
      <c r="G49" s="44" t="str">
        <f>IF($F$6&gt;=7,$G$43,"")</f>
        <v/>
      </c>
      <c r="H49" s="44" t="str">
        <f>IF($F$6&gt;=7,$H$43,"")</f>
        <v/>
      </c>
      <c r="I49" s="1" t="str">
        <f>IF($F$6&gt;=7,$I$43,"")</f>
        <v/>
      </c>
      <c r="J49" s="43" t="str">
        <f>IF($F$6&gt;=7,$J$43,"")</f>
        <v/>
      </c>
      <c r="K49" s="44" t="str">
        <f>IF(AND($F$6&gt;=7,J49&lt;&gt;' '!$B$53),' '!$D$53,"")</f>
        <v/>
      </c>
      <c r="L49" s="52" t="str">
        <f>IF(OR(J49=' '!$B$53,J49=""),"",' '!$F$53)</f>
        <v/>
      </c>
    </row>
    <row r="50" spans="1:13" ht="35.1" customHeight="1" x14ac:dyDescent="0.25">
      <c r="A50" s="37" t="str">
        <f t="shared" si="4"/>
        <v/>
      </c>
      <c r="B50" s="34" t="str">
        <f t="shared" si="5"/>
        <v/>
      </c>
      <c r="C50" s="42" t="str">
        <f>IF(F$6 &lt;8,"",(IF(F24&lt;18,' '!N$44,IF(AND(E24&lt;=34,H24&lt;10.5),' '!N$45,IF(AND(E24&gt;34,E24&lt;=53,H24&lt;11.75),' '!N$46,IF(AND(E24&gt;53,H24&lt;12.375),' '!N$47,' '!N$40))))))</f>
        <v/>
      </c>
      <c r="D50" s="43" t="str">
        <f>IF($F$6&gt;=8,$D$43,"")</f>
        <v/>
      </c>
      <c r="E50" s="1" t="str">
        <f>IF(OR(D50=' '!$D$40,D50=""),"",' '!$B$40)</f>
        <v/>
      </c>
      <c r="F50" s="43" t="str">
        <f>IF($F$6&gt;=8,IF(OR(D50=' '!$D$41,D50=' '!$D$42,D50=' '!$D$43),IF($F$43=' '!$F$40,' '!$D$45,$F$43),' '!$F$40),"")</f>
        <v/>
      </c>
      <c r="G50" s="44" t="str">
        <f>IF($F$6&gt;=8,$G$43,"")</f>
        <v/>
      </c>
      <c r="H50" s="44" t="str">
        <f>IF($F$6&gt;=8,$H$43,"")</f>
        <v/>
      </c>
      <c r="I50" s="1" t="str">
        <f>IF($F$6&gt;=8,$I$43,"")</f>
        <v/>
      </c>
      <c r="J50" s="43" t="str">
        <f>IF($F$6&gt;=8,$J$43,"")</f>
        <v/>
      </c>
      <c r="K50" s="44" t="str">
        <f>IF(AND($F$6&gt;=8,J50&lt;&gt;' '!$B$53),' '!$D$53,"")</f>
        <v/>
      </c>
      <c r="L50" s="52" t="str">
        <f>IF(OR(J50=' '!$B$53,J50=""),"",' '!$F$53)</f>
        <v/>
      </c>
    </row>
    <row r="51" spans="1:13" ht="35.1" customHeight="1" x14ac:dyDescent="0.25">
      <c r="A51" s="37" t="str">
        <f t="shared" si="4"/>
        <v/>
      </c>
      <c r="B51" s="34" t="str">
        <f t="shared" si="5"/>
        <v/>
      </c>
      <c r="C51" s="42" t="str">
        <f>IF(F$6 &lt;9,"",(IF(F25&lt;18,' '!N$44,IF(AND(E25&lt;=34,H25&lt;10.5),' '!N$45,IF(AND(E25&gt;34,E25&lt;=53,H25&lt;11.75),' '!N$46,IF(AND(E25&gt;53,H25&lt;12.375),' '!N$47,' '!N$40))))))</f>
        <v/>
      </c>
      <c r="D51" s="43" t="str">
        <f>IF($F$6&gt;=9,$D$43,"")</f>
        <v/>
      </c>
      <c r="E51" s="1" t="str">
        <f>IF(OR(D51=' '!$D$40,D51=""),"",' '!$B$40)</f>
        <v/>
      </c>
      <c r="F51" s="43" t="str">
        <f>IF($F$6&gt;=9,IF(OR(D51=' '!$D$41,D51=' '!$D$42,D51=' '!$D$43),IF($F$43=' '!$F$40,' '!$D$45,$F$43),' '!$F$40),"")</f>
        <v/>
      </c>
      <c r="G51" s="44" t="str">
        <f>IF($F$6&gt;=9,$G$43,"")</f>
        <v/>
      </c>
      <c r="H51" s="44" t="str">
        <f>IF($F$6&gt;=9,$H$43,"")</f>
        <v/>
      </c>
      <c r="I51" s="1" t="str">
        <f>IF($F$6&gt;=9,$I$43,"")</f>
        <v/>
      </c>
      <c r="J51" s="43" t="str">
        <f>IF($F$6&gt;=9,$J$43,"")</f>
        <v/>
      </c>
      <c r="K51" s="44" t="str">
        <f>IF(AND($F$6&gt;=9,J51&lt;&gt;' '!$B$53),' '!$D$53,"")</f>
        <v/>
      </c>
      <c r="L51" s="52" t="str">
        <f>IF(OR(J51=' '!$B$53,J51=""),"",' '!$F$53)</f>
        <v/>
      </c>
    </row>
    <row r="52" spans="1:13" ht="35.1" customHeight="1" thickBot="1" x14ac:dyDescent="0.3">
      <c r="A52" s="38" t="str">
        <f t="shared" si="4"/>
        <v/>
      </c>
      <c r="B52" s="36" t="str">
        <f t="shared" si="5"/>
        <v/>
      </c>
      <c r="C52" s="42" t="str">
        <f>IF(F$6 &lt;10,"",(IF(F26&lt;18,' '!N$44,IF(AND(E26&lt;=34,H26&lt;10.5),' '!N$45,IF(AND(E26&gt;34,E26&lt;=53,H26&lt;11.75),' '!N$46,IF(AND(E26&gt;53,H26&lt;12.375),' '!N$47,' '!N$40))))))</f>
        <v/>
      </c>
      <c r="D52" s="46" t="str">
        <f>IF($F$6&gt;=10,$D$43,"")</f>
        <v/>
      </c>
      <c r="E52" s="5" t="str">
        <f>IF(OR(D52=' '!$D$40,D52=""),"",' '!$B$40)</f>
        <v/>
      </c>
      <c r="F52" s="46" t="str">
        <f>IF($F$6&gt;=10,IF(OR(D52=' '!$D$41,D52=' '!$D$42,D52=' '!$D$43),IF($F$43=' '!$F$40,' '!$D$45,$F$43),' '!$F$40),"")</f>
        <v/>
      </c>
      <c r="G52" s="47" t="str">
        <f>IF($F$6&gt;=10,$G$43,"")</f>
        <v/>
      </c>
      <c r="H52" s="47" t="str">
        <f>IF($F$6&gt;=10,$H$43,"")</f>
        <v/>
      </c>
      <c r="I52" s="5" t="str">
        <f>IF($F$6&gt;=10,$I$43,"")</f>
        <v/>
      </c>
      <c r="J52" s="46" t="str">
        <f>IF($F$6&gt;=10,$J$43,"")</f>
        <v/>
      </c>
      <c r="K52" s="47" t="str">
        <f>IF(AND($F$6&gt;=10,J52&lt;&gt;' '!$B$53),' '!$D$53,"")</f>
        <v/>
      </c>
      <c r="L52" s="53" t="str">
        <f>IF(OR(J52=' '!$B$53,J52=""),"",' '!$F$53)</f>
        <v/>
      </c>
    </row>
    <row r="53" spans="1:13" ht="9.9499999999999993" customHeight="1" thickBot="1" x14ac:dyDescent="0.3">
      <c r="A53" s="10"/>
      <c r="B53" s="10"/>
      <c r="C53" s="10"/>
      <c r="D53" s="10"/>
      <c r="E53" s="10"/>
      <c r="F53" s="10"/>
      <c r="G53" s="10"/>
      <c r="H53" s="10"/>
      <c r="I53" s="10"/>
      <c r="J53" s="40"/>
      <c r="K53" s="41"/>
      <c r="L53" s="10"/>
    </row>
    <row r="54" spans="1:13" ht="18.75" customHeight="1" x14ac:dyDescent="0.25">
      <c r="A54" s="117" t="s">
        <v>80</v>
      </c>
      <c r="B54" s="145"/>
      <c r="C54" s="118"/>
      <c r="D54" s="117" t="s">
        <v>94</v>
      </c>
      <c r="E54" s="118"/>
      <c r="F54" s="112" t="s">
        <v>419</v>
      </c>
      <c r="G54" s="113"/>
      <c r="H54" s="113"/>
      <c r="I54" s="114"/>
      <c r="J54" s="89" t="s">
        <v>455</v>
      </c>
      <c r="K54" s="90"/>
      <c r="L54" s="90"/>
    </row>
    <row r="55" spans="1:13" ht="15" customHeight="1" x14ac:dyDescent="0.25">
      <c r="A55" s="115" t="s">
        <v>81</v>
      </c>
      <c r="B55" s="132"/>
      <c r="C55" s="116"/>
      <c r="D55" s="115" t="s">
        <v>58</v>
      </c>
      <c r="E55" s="116"/>
      <c r="F55" s="106"/>
      <c r="G55" s="107"/>
      <c r="H55" s="107"/>
      <c r="I55" s="108"/>
      <c r="J55" s="89"/>
      <c r="K55" s="90"/>
      <c r="L55" s="90"/>
    </row>
    <row r="56" spans="1:13" ht="15" customHeight="1" x14ac:dyDescent="0.25">
      <c r="A56" s="115" t="s">
        <v>82</v>
      </c>
      <c r="B56" s="132"/>
      <c r="C56" s="116"/>
      <c r="D56" s="115" t="s">
        <v>59</v>
      </c>
      <c r="E56" s="116"/>
      <c r="F56" s="106"/>
      <c r="G56" s="107"/>
      <c r="H56" s="107"/>
      <c r="I56" s="108"/>
      <c r="J56" s="89"/>
      <c r="K56" s="90"/>
      <c r="L56" s="90"/>
    </row>
    <row r="57" spans="1:13" ht="15" customHeight="1" x14ac:dyDescent="0.25">
      <c r="A57" s="115" t="s">
        <v>83</v>
      </c>
      <c r="B57" s="132"/>
      <c r="C57" s="116"/>
      <c r="D57" s="115" t="s">
        <v>60</v>
      </c>
      <c r="E57" s="116"/>
      <c r="F57" s="106"/>
      <c r="G57" s="107"/>
      <c r="H57" s="107"/>
      <c r="I57" s="108"/>
      <c r="J57" s="89"/>
      <c r="K57" s="90"/>
      <c r="L57" s="90"/>
    </row>
    <row r="58" spans="1:13" ht="15.75" customHeight="1" x14ac:dyDescent="0.25">
      <c r="A58" s="115" t="s">
        <v>84</v>
      </c>
      <c r="B58" s="132"/>
      <c r="C58" s="116"/>
      <c r="D58" s="115" t="s">
        <v>472</v>
      </c>
      <c r="E58" s="116"/>
      <c r="F58" s="106"/>
      <c r="G58" s="107"/>
      <c r="H58" s="107"/>
      <c r="I58" s="108"/>
      <c r="J58" s="89"/>
      <c r="K58" s="90"/>
      <c r="L58" s="90"/>
    </row>
    <row r="59" spans="1:13" ht="15" customHeight="1" x14ac:dyDescent="0.25">
      <c r="A59" s="115" t="s">
        <v>85</v>
      </c>
      <c r="B59" s="132"/>
      <c r="C59" s="116"/>
      <c r="D59" s="115" t="s">
        <v>473</v>
      </c>
      <c r="E59" s="116"/>
      <c r="F59" s="106"/>
      <c r="G59" s="107"/>
      <c r="H59" s="107"/>
      <c r="I59" s="108"/>
      <c r="J59" s="89"/>
      <c r="K59" s="90"/>
      <c r="L59" s="90"/>
    </row>
    <row r="60" spans="1:13" ht="15" customHeight="1" x14ac:dyDescent="0.25">
      <c r="A60" s="115" t="s">
        <v>86</v>
      </c>
      <c r="B60" s="132"/>
      <c r="C60" s="116"/>
      <c r="D60" s="115" t="s">
        <v>95</v>
      </c>
      <c r="E60" s="116"/>
      <c r="F60" s="106"/>
      <c r="G60" s="107"/>
      <c r="H60" s="107"/>
      <c r="I60" s="108"/>
      <c r="J60" s="89"/>
      <c r="K60" s="90"/>
      <c r="L60" s="90"/>
    </row>
    <row r="61" spans="1:13" ht="15" customHeight="1" x14ac:dyDescent="0.25">
      <c r="A61" s="115" t="s">
        <v>87</v>
      </c>
      <c r="B61" s="132"/>
      <c r="C61" s="116"/>
      <c r="D61" s="115" t="s">
        <v>98</v>
      </c>
      <c r="E61" s="116"/>
      <c r="F61" s="106"/>
      <c r="G61" s="107"/>
      <c r="H61" s="107"/>
      <c r="I61" s="108"/>
      <c r="J61" s="89"/>
      <c r="K61" s="90"/>
      <c r="L61" s="90"/>
    </row>
    <row r="62" spans="1:13" ht="15" customHeight="1" x14ac:dyDescent="0.25">
      <c r="A62" s="115" t="s">
        <v>88</v>
      </c>
      <c r="B62" s="132"/>
      <c r="C62" s="116"/>
      <c r="D62" s="115" t="s">
        <v>99</v>
      </c>
      <c r="E62" s="116"/>
      <c r="F62" s="106"/>
      <c r="G62" s="107"/>
      <c r="H62" s="107"/>
      <c r="I62" s="108"/>
      <c r="J62" s="89"/>
      <c r="K62" s="90"/>
      <c r="L62" s="90"/>
    </row>
    <row r="63" spans="1:13" ht="15.75" customHeight="1" thickBot="1" x14ac:dyDescent="0.3">
      <c r="A63" s="143" t="s">
        <v>89</v>
      </c>
      <c r="B63" s="146"/>
      <c r="C63" s="144"/>
      <c r="D63" s="143" t="s">
        <v>290</v>
      </c>
      <c r="E63" s="144"/>
      <c r="F63" s="109"/>
      <c r="G63" s="110"/>
      <c r="H63" s="110"/>
      <c r="I63" s="111"/>
      <c r="J63" s="89"/>
      <c r="K63" s="90"/>
      <c r="L63" s="90"/>
    </row>
    <row r="64" spans="1:13" s="10" customFormat="1" x14ac:dyDescent="0.25">
      <c r="G64" s="119"/>
      <c r="H64" s="119"/>
      <c r="M64" s="9"/>
    </row>
    <row r="65" spans="1:13" s="10" customFormat="1" x14ac:dyDescent="0.25">
      <c r="M65" s="9"/>
    </row>
    <row r="66" spans="1:13" s="10" customFormat="1" x14ac:dyDescent="0.25">
      <c r="M66" s="9"/>
    </row>
    <row r="67" spans="1:13" s="10" customFormat="1" x14ac:dyDescent="0.25">
      <c r="M67" s="9"/>
    </row>
    <row r="68" spans="1:13" s="10" customFormat="1" x14ac:dyDescent="0.25">
      <c r="M68" s="9"/>
    </row>
    <row r="69" spans="1:13" s="10" customFormat="1" x14ac:dyDescent="0.25">
      <c r="M69" s="9"/>
    </row>
    <row r="70" spans="1:13" s="10" customFormat="1" x14ac:dyDescent="0.25">
      <c r="M70" s="9"/>
    </row>
    <row r="71" spans="1:13" s="10" customFormat="1" x14ac:dyDescent="0.25">
      <c r="M71" s="9"/>
    </row>
    <row r="72" spans="1:13" s="10" customFormat="1" x14ac:dyDescent="0.25">
      <c r="M72" s="9"/>
    </row>
    <row r="73" spans="1:13" s="10" customFormat="1" x14ac:dyDescent="0.25">
      <c r="M73" s="9"/>
    </row>
    <row r="74" spans="1:13" s="10" customFormat="1" x14ac:dyDescent="0.25">
      <c r="M74" s="9"/>
    </row>
    <row r="75" spans="1:13" s="10" customFormat="1" x14ac:dyDescent="0.25">
      <c r="M75" s="9"/>
    </row>
    <row r="76" spans="1:13" s="10" customFormat="1" x14ac:dyDescent="0.25">
      <c r="M76" s="9"/>
    </row>
    <row r="77" spans="1:13" s="10" customFormat="1" x14ac:dyDescent="0.25">
      <c r="M77" s="9"/>
    </row>
    <row r="78" spans="1:13" x14ac:dyDescent="0.25">
      <c r="A78" s="10"/>
      <c r="B78" s="10"/>
      <c r="C78" s="10"/>
      <c r="D78" s="10"/>
      <c r="E78" s="10"/>
      <c r="F78" s="10"/>
      <c r="G78" s="10"/>
      <c r="H78" s="10"/>
      <c r="I78" s="10"/>
      <c r="J78" s="10"/>
      <c r="K78" s="10"/>
      <c r="L78" s="10"/>
    </row>
  </sheetData>
  <mergeCells count="66">
    <mergeCell ref="D58:E58"/>
    <mergeCell ref="D59:E59"/>
    <mergeCell ref="D60:E60"/>
    <mergeCell ref="D61:E61"/>
    <mergeCell ref="D62:E62"/>
    <mergeCell ref="H12:I12"/>
    <mergeCell ref="D63:E63"/>
    <mergeCell ref="A56:C56"/>
    <mergeCell ref="K7:L7"/>
    <mergeCell ref="K8:L8"/>
    <mergeCell ref="H7:I7"/>
    <mergeCell ref="H8:I8"/>
    <mergeCell ref="A61:C61"/>
    <mergeCell ref="A62:C62"/>
    <mergeCell ref="A54:C54"/>
    <mergeCell ref="A55:C55"/>
    <mergeCell ref="A59:C59"/>
    <mergeCell ref="A60:C60"/>
    <mergeCell ref="A63:C63"/>
    <mergeCell ref="D56:E56"/>
    <mergeCell ref="D57:E57"/>
    <mergeCell ref="A2:L2"/>
    <mergeCell ref="A1:L1"/>
    <mergeCell ref="A5:D5"/>
    <mergeCell ref="K5:L5"/>
    <mergeCell ref="K6:L6"/>
    <mergeCell ref="H5:I5"/>
    <mergeCell ref="H6:I6"/>
    <mergeCell ref="A6:B6"/>
    <mergeCell ref="E6:E7"/>
    <mergeCell ref="C6:D6"/>
    <mergeCell ref="C7:D7"/>
    <mergeCell ref="A7:B7"/>
    <mergeCell ref="F6:F7"/>
    <mergeCell ref="G64:H64"/>
    <mergeCell ref="A3:L3"/>
    <mergeCell ref="I15:L15"/>
    <mergeCell ref="C12:D12"/>
    <mergeCell ref="A12:B12"/>
    <mergeCell ref="J41:L41"/>
    <mergeCell ref="F41:I41"/>
    <mergeCell ref="D41:E41"/>
    <mergeCell ref="G28:L28"/>
    <mergeCell ref="K9:L9"/>
    <mergeCell ref="C8:D8"/>
    <mergeCell ref="A9:B9"/>
    <mergeCell ref="A10:B10"/>
    <mergeCell ref="D15:H15"/>
    <mergeCell ref="A57:C57"/>
    <mergeCell ref="A58:C58"/>
    <mergeCell ref="J54:L63"/>
    <mergeCell ref="K10:L10"/>
    <mergeCell ref="K11:L11"/>
    <mergeCell ref="K12:L12"/>
    <mergeCell ref="A8:B8"/>
    <mergeCell ref="C10:D10"/>
    <mergeCell ref="C11:D11"/>
    <mergeCell ref="A11:B11"/>
    <mergeCell ref="C28:F28"/>
    <mergeCell ref="F55:I63"/>
    <mergeCell ref="F54:I54"/>
    <mergeCell ref="D55:E55"/>
    <mergeCell ref="D54:E54"/>
    <mergeCell ref="H9:I9"/>
    <mergeCell ref="H10:I10"/>
    <mergeCell ref="H11:I11"/>
  </mergeCells>
  <conditionalFormatting sqref="C18:C26">
    <cfRule type="expression" priority="395">
      <formula>IF($C$17="","",$C$17)</formula>
    </cfRule>
  </conditionalFormatting>
  <conditionalFormatting sqref="C43:C52">
    <cfRule type="containsText" dxfId="311" priority="1" operator="containsText" text="N/A">
      <formula>NOT(ISERROR(SEARCH("N/A",C43)))</formula>
    </cfRule>
  </conditionalFormatting>
  <conditionalFormatting sqref="C6:D6">
    <cfRule type="expression" dxfId="310" priority="230">
      <formula>$C$6=""</formula>
    </cfRule>
  </conditionalFormatting>
  <conditionalFormatting sqref="C7:D7">
    <cfRule type="expression" dxfId="309" priority="229">
      <formula>$C$7=""</formula>
    </cfRule>
  </conditionalFormatting>
  <conditionalFormatting sqref="C8:D8">
    <cfRule type="expression" dxfId="308" priority="228">
      <formula>$C$8=""</formula>
    </cfRule>
  </conditionalFormatting>
  <conditionalFormatting sqref="C10:D10">
    <cfRule type="expression" dxfId="307" priority="184">
      <formula>$C$10="(DD/MM/YY)"</formula>
    </cfRule>
  </conditionalFormatting>
  <conditionalFormatting sqref="C11:D11">
    <cfRule type="expression" dxfId="306" priority="226">
      <formula>$C$11=""</formula>
    </cfRule>
  </conditionalFormatting>
  <conditionalFormatting sqref="D17">
    <cfRule type="expression" dxfId="305" priority="214">
      <formula>AND($F$6&gt;=1,$D$17="")</formula>
    </cfRule>
    <cfRule type="expression" dxfId="303" priority="215">
      <formula>"AND($F$6&gt;=1,$D$17&lt;&gt;"""")"</formula>
    </cfRule>
  </conditionalFormatting>
  <conditionalFormatting sqref="D18">
    <cfRule type="expression" dxfId="302" priority="415">
      <formula>AND($F$6&gt;=2,$D$18="")</formula>
    </cfRule>
    <cfRule type="expression" dxfId="301" priority="224">
      <formula>AND($F$6&gt;=2,$E$18="",$D$18&lt;&gt;"")</formula>
    </cfRule>
  </conditionalFormatting>
  <conditionalFormatting sqref="D19">
    <cfRule type="expression" dxfId="299" priority="223">
      <formula>AND($F$6&gt;=3,$E$19="",$D$19&lt;&gt;"")</formula>
    </cfRule>
    <cfRule type="expression" dxfId="297" priority="417">
      <formula>AND($F$6&gt;=3,$D$19="")</formula>
    </cfRule>
  </conditionalFormatting>
  <conditionalFormatting sqref="D20">
    <cfRule type="expression" dxfId="296" priority="222">
      <formula>AND($F$6&gt;=4,$E$20="",$D$20&lt;&gt;"")</formula>
    </cfRule>
    <cfRule type="expression" dxfId="294" priority="419">
      <formula>AND($F$6&gt;=4,$D$20="")</formula>
    </cfRule>
  </conditionalFormatting>
  <conditionalFormatting sqref="D21">
    <cfRule type="expression" dxfId="293" priority="315">
      <formula>AND($F$6&gt;=5,$D$21="")</formula>
    </cfRule>
    <cfRule type="expression" dxfId="292" priority="221">
      <formula>AND($F$6&gt;=5,$E$21="",$D$21&lt;&gt;"")</formula>
    </cfRule>
  </conditionalFormatting>
  <conditionalFormatting sqref="D22">
    <cfRule type="expression" dxfId="290" priority="220">
      <formula>AND($F$6&gt;=6,$E$22="",$D$22&lt;&gt;"")</formula>
    </cfRule>
    <cfRule type="expression" dxfId="288" priority="314">
      <formula>AND($F$6&gt;=6,$D$22="")</formula>
    </cfRule>
  </conditionalFormatting>
  <conditionalFormatting sqref="D23">
    <cfRule type="expression" dxfId="286" priority="313">
      <formula>AND($F$6&gt;=7,$D$23="")</formula>
    </cfRule>
    <cfRule type="expression" dxfId="285" priority="219">
      <formula>AND($F$6&gt;=7,$E$23="",$D$23&lt;&gt;"")</formula>
    </cfRule>
  </conditionalFormatting>
  <conditionalFormatting sqref="D24">
    <cfRule type="expression" dxfId="283" priority="312">
      <formula>AND($F$6&gt;=8,$D$24="")</formula>
    </cfRule>
    <cfRule type="expression" dxfId="282" priority="218">
      <formula>AND($F$6&gt;=8,$E$24="",$D$24&lt;&gt;"")</formula>
    </cfRule>
  </conditionalFormatting>
  <conditionalFormatting sqref="D25">
    <cfRule type="expression" dxfId="280" priority="311">
      <formula>AND($F$6&gt;=9,$D$25="")</formula>
    </cfRule>
    <cfRule type="expression" dxfId="279" priority="217">
      <formula>AND($F$6&gt;=9,$E$25="",$D$25&lt;&gt;"")</formula>
    </cfRule>
  </conditionalFormatting>
  <conditionalFormatting sqref="D26">
    <cfRule type="expression" dxfId="277" priority="310">
      <formula>AND($F$6&gt;=10,$D$26="")</formula>
    </cfRule>
    <cfRule type="expression" dxfId="276" priority="216">
      <formula>AND($F$6&gt;=10,$E$26="",$D$26&lt;&gt;"")</formula>
    </cfRule>
  </conditionalFormatting>
  <conditionalFormatting sqref="E17">
    <cfRule type="expression" dxfId="275" priority="421">
      <formula>AND($E$17&gt;1,$E$17&lt;12)</formula>
    </cfRule>
    <cfRule type="expression" dxfId="274" priority="213">
      <formula>AND($F$6&gt;=1,$E$17="")</formula>
    </cfRule>
  </conditionalFormatting>
  <conditionalFormatting sqref="E18">
    <cfRule type="expression" dxfId="273" priority="425">
      <formula>AND($E$18&gt;1,$E$18&lt;12)</formula>
    </cfRule>
    <cfRule type="expression" dxfId="272" priority="212">
      <formula>AND($F$6&gt;=2,$E$18="")</formula>
    </cfRule>
  </conditionalFormatting>
  <conditionalFormatting sqref="E19">
    <cfRule type="expression" dxfId="271" priority="211">
      <formula>AND($F$6&gt;=3,$E$19="")</formula>
    </cfRule>
    <cfRule type="expression" dxfId="270" priority="429">
      <formula>AND($E$19&gt;1,$E$19&lt;12)</formula>
    </cfRule>
  </conditionalFormatting>
  <conditionalFormatting sqref="E20">
    <cfRule type="expression" dxfId="269" priority="210">
      <formula>AND($F$6&gt;=4,$E$20="")</formula>
    </cfRule>
    <cfRule type="expression" dxfId="268" priority="433">
      <formula>AND($E$20&gt;1,$E$20&lt;12)</formula>
    </cfRule>
  </conditionalFormatting>
  <conditionalFormatting sqref="E21">
    <cfRule type="expression" dxfId="267" priority="209">
      <formula>AND($F$6&gt;=5,$E$21="")</formula>
    </cfRule>
    <cfRule type="expression" dxfId="266" priority="438">
      <formula>AND($E$21&gt;1,$E$21&lt;12)</formula>
    </cfRule>
  </conditionalFormatting>
  <conditionalFormatting sqref="E22">
    <cfRule type="expression" dxfId="265" priority="447">
      <formula>AND($E$22&gt;1,$E$22&lt;12)</formula>
    </cfRule>
    <cfRule type="expression" dxfId="264" priority="208">
      <formula>AND($F$6&gt;=6,$E$22="")</formula>
    </cfRule>
  </conditionalFormatting>
  <conditionalFormatting sqref="E23">
    <cfRule type="expression" dxfId="263" priority="207">
      <formula>AND($F$6&gt;=7,$E$23="")</formula>
    </cfRule>
    <cfRule type="expression" dxfId="262" priority="448">
      <formula>AND($E$23&gt;1,$E$23&lt;12)</formula>
    </cfRule>
  </conditionalFormatting>
  <conditionalFormatting sqref="E24">
    <cfRule type="expression" dxfId="261" priority="206">
      <formula>AND($F$6&gt;=8,$E$24="")</formula>
    </cfRule>
    <cfRule type="expression" dxfId="260" priority="449">
      <formula>AND($E$24&gt;1,$E$24&lt;12)</formula>
    </cfRule>
  </conditionalFormatting>
  <conditionalFormatting sqref="E25">
    <cfRule type="expression" dxfId="259" priority="450">
      <formula>AND($E$25&gt;1,$E$25&lt;12)</formula>
    </cfRule>
    <cfRule type="expression" dxfId="258" priority="205">
      <formula>AND($F$6&gt;=9,$E$25="")</formula>
    </cfRule>
  </conditionalFormatting>
  <conditionalFormatting sqref="E26">
    <cfRule type="expression" dxfId="257" priority="204">
      <formula>AND($F$6&gt;=10,$E$26="")</formula>
    </cfRule>
    <cfRule type="expression" dxfId="256" priority="451">
      <formula>AND($E$26&gt;1,$E$26&lt;12)</formula>
    </cfRule>
  </conditionalFormatting>
  <conditionalFormatting sqref="F6:F7">
    <cfRule type="expression" dxfId="255" priority="410">
      <formula>(F6="")</formula>
    </cfRule>
  </conditionalFormatting>
  <conditionalFormatting sqref="F11">
    <cfRule type="expression" dxfId="254" priority="227">
      <formula>$F$11=""</formula>
    </cfRule>
  </conditionalFormatting>
  <conditionalFormatting sqref="F17">
    <cfRule type="expression" dxfId="253" priority="42" stopIfTrue="1">
      <formula>$F$17="ENTER THE TOTAL QUANTITY OF DOORS IN THE HIGHLIGHTED FIELD ABOVE TO BEGIN"</formula>
    </cfRule>
    <cfRule type="expression" dxfId="252" priority="422">
      <formula>AND($F$6&gt;=1,$F$17&lt;14)</formula>
    </cfRule>
    <cfRule type="expression" dxfId="251" priority="143">
      <formula>AND($F$6&gt;=1,$F$17="")</formula>
    </cfRule>
  </conditionalFormatting>
  <conditionalFormatting sqref="F18">
    <cfRule type="expression" dxfId="250" priority="426">
      <formula>AND($F$6&gt;=2,$F$18&lt;14)</formula>
    </cfRule>
    <cfRule type="expression" dxfId="249" priority="41">
      <formula>AND($F$6&gt;=2,$F$18="")</formula>
    </cfRule>
  </conditionalFormatting>
  <conditionalFormatting sqref="F19">
    <cfRule type="expression" dxfId="248" priority="430">
      <formula>AND($F$6&gt;=3,$F$19&lt;14)</formula>
    </cfRule>
    <cfRule type="expression" dxfId="247" priority="40">
      <formula>AND($F$6&gt;=3,$F$19="")</formula>
    </cfRule>
  </conditionalFormatting>
  <conditionalFormatting sqref="F20">
    <cfRule type="expression" dxfId="246" priority="434">
      <formula>AND($F$6&gt;=4,$F$20&lt;14)</formula>
    </cfRule>
    <cfRule type="expression" dxfId="245" priority="39">
      <formula>AND($F$6&gt;=4,$F$20="")</formula>
    </cfRule>
  </conditionalFormatting>
  <conditionalFormatting sqref="F21">
    <cfRule type="expression" dxfId="244" priority="439">
      <formula>AND($F$6&gt;=5,$F$21&lt;14)</formula>
    </cfRule>
    <cfRule type="expression" dxfId="243" priority="38">
      <formula>AND($F$6&gt;=5,$F$21="")</formula>
    </cfRule>
  </conditionalFormatting>
  <conditionalFormatting sqref="F22">
    <cfRule type="expression" dxfId="242" priority="452">
      <formula>AND($F$6&gt;=6,$F$22&lt;14)</formula>
    </cfRule>
    <cfRule type="expression" dxfId="241" priority="37">
      <formula>AND($F$6&gt;=6,$F$22="")</formula>
    </cfRule>
  </conditionalFormatting>
  <conditionalFormatting sqref="F23">
    <cfRule type="expression" dxfId="240" priority="453">
      <formula>AND($F$6&gt;=7,$F$23&lt;14)</formula>
    </cfRule>
    <cfRule type="expression" dxfId="239" priority="36">
      <formula>AND($F$6&gt;=7,$F$23="")</formula>
    </cfRule>
  </conditionalFormatting>
  <conditionalFormatting sqref="F24">
    <cfRule type="expression" dxfId="238" priority="454">
      <formula>AND($F$6&gt;=8,$F$24&lt;14)</formula>
    </cfRule>
    <cfRule type="expression" dxfId="237" priority="35">
      <formula>AND($F$6&gt;=8,$F$24="")</formula>
    </cfRule>
  </conditionalFormatting>
  <conditionalFormatting sqref="F25">
    <cfRule type="expression" dxfId="236" priority="455">
      <formula>AND($F$6&gt;=9,$F$25&lt;14)</formula>
    </cfRule>
    <cfRule type="expression" dxfId="235" priority="34">
      <formula>AND($F$6&gt;=9,$F$25="")</formula>
    </cfRule>
  </conditionalFormatting>
  <conditionalFormatting sqref="F26">
    <cfRule type="expression" dxfId="234" priority="456">
      <formula>AND($F$6&gt;=10,$F$26&lt;14)</formula>
    </cfRule>
    <cfRule type="expression" dxfId="233" priority="33">
      <formula>AND($F$6&gt;=10,$F$26="")</formula>
    </cfRule>
  </conditionalFormatting>
  <conditionalFormatting sqref="F30">
    <cfRule type="expression" dxfId="232" priority="289">
      <formula>$F$30="SPECIFY REQUIRED LENGTH"</formula>
    </cfRule>
    <cfRule type="expression" dxfId="231" priority="279">
      <formula>$F$30="N/A"</formula>
    </cfRule>
  </conditionalFormatting>
  <conditionalFormatting sqref="F31">
    <cfRule type="expression" dxfId="230" priority="278">
      <formula>$F$31="N/A"</formula>
    </cfRule>
    <cfRule type="expression" dxfId="229" priority="269">
      <formula>$F$31="SPECIFY REQUIRED LENGTH"</formula>
    </cfRule>
  </conditionalFormatting>
  <conditionalFormatting sqref="F32">
    <cfRule type="expression" dxfId="228" priority="277">
      <formula>$F$32="N/A"</formula>
    </cfRule>
    <cfRule type="expression" dxfId="227" priority="268">
      <formula>$F$32="SPECIFY REQUIRED LENGTH"</formula>
    </cfRule>
  </conditionalFormatting>
  <conditionalFormatting sqref="F33">
    <cfRule type="expression" dxfId="226" priority="276">
      <formula>$F$33="N/A"</formula>
    </cfRule>
    <cfRule type="expression" dxfId="225" priority="267">
      <formula>$F$33="SPECIFY REQUIRED LENGTH"</formula>
    </cfRule>
  </conditionalFormatting>
  <conditionalFormatting sqref="F34">
    <cfRule type="expression" dxfId="224" priority="275">
      <formula>$F$34="N/A"</formula>
    </cfRule>
    <cfRule type="expression" dxfId="223" priority="266">
      <formula>$F$34="SPECIFY REQUIRED LENGTH"</formula>
    </cfRule>
  </conditionalFormatting>
  <conditionalFormatting sqref="F35">
    <cfRule type="expression" dxfId="222" priority="274">
      <formula>$F$35="N/A"</formula>
    </cfRule>
    <cfRule type="expression" dxfId="221" priority="265">
      <formula>$F$35="SPECIFY REQUIRED LENGTH"</formula>
    </cfRule>
  </conditionalFormatting>
  <conditionalFormatting sqref="F36">
    <cfRule type="expression" dxfId="220" priority="264">
      <formula>$F$36="SPECIFY REQUIRED LENGTH"</formula>
    </cfRule>
    <cfRule type="expression" dxfId="219" priority="273">
      <formula>$F$36="N/A"</formula>
    </cfRule>
  </conditionalFormatting>
  <conditionalFormatting sqref="F37">
    <cfRule type="expression" dxfId="218" priority="263">
      <formula>$F$37="SPECIFY REQUIRED LENGTH"</formula>
    </cfRule>
    <cfRule type="expression" dxfId="217" priority="272">
      <formula>$F$37="N/A"</formula>
    </cfRule>
  </conditionalFormatting>
  <conditionalFormatting sqref="F38">
    <cfRule type="expression" dxfId="216" priority="271">
      <formula>$F$38="N/A"</formula>
    </cfRule>
    <cfRule type="expression" dxfId="215" priority="262">
      <formula>$F$38="SPECIFY REQUIRED LENGTH"</formula>
    </cfRule>
  </conditionalFormatting>
  <conditionalFormatting sqref="F39">
    <cfRule type="expression" dxfId="214" priority="270">
      <formula>$F$39="N/A"</formula>
    </cfRule>
    <cfRule type="expression" dxfId="213" priority="261">
      <formula>$F$39="SPECIFY REQUIRED LENGTH"</formula>
    </cfRule>
  </conditionalFormatting>
  <conditionalFormatting sqref="G17">
    <cfRule type="expression" dxfId="202" priority="423">
      <formula>AND($F$6&gt;=1,$G$17="")</formula>
    </cfRule>
    <cfRule type="expression" dxfId="201" priority="18">
      <formula>AND($G$17&gt;1,$G$17&lt;($D$17+$E$17))</formula>
    </cfRule>
  </conditionalFormatting>
  <conditionalFormatting sqref="G18">
    <cfRule type="expression" dxfId="200" priority="427">
      <formula>AND($F$6&gt;=2,$G$18="")</formula>
    </cfRule>
    <cfRule type="expression" dxfId="199" priority="17">
      <formula>AND($G$18&gt;1,$G$18&lt;($D$18+$E$18))</formula>
    </cfRule>
  </conditionalFormatting>
  <conditionalFormatting sqref="G19">
    <cfRule type="expression" dxfId="198" priority="431">
      <formula>AND($F$6&gt;=3,$G$19="")</formula>
    </cfRule>
    <cfRule type="expression" dxfId="197" priority="16">
      <formula>AND($G$19&gt;1,$G$19&lt;($D$19+$E$19))</formula>
    </cfRule>
  </conditionalFormatting>
  <conditionalFormatting sqref="G20">
    <cfRule type="expression" dxfId="196" priority="435">
      <formula>AND($F$6&gt;=4,$G$20="")</formula>
    </cfRule>
    <cfRule type="expression" dxfId="195" priority="15">
      <formula>AND($G$20&gt;1,$G$20&lt;($D$20+$E$20))</formula>
    </cfRule>
  </conditionalFormatting>
  <conditionalFormatting sqref="G21">
    <cfRule type="expression" dxfId="194" priority="14">
      <formula>AND($G$21&gt;1,$G$21&lt;($D$21+$E$21))</formula>
    </cfRule>
    <cfRule type="expression" dxfId="193" priority="440">
      <formula>AND($F$6&gt;=5,$G$21="")</formula>
    </cfRule>
  </conditionalFormatting>
  <conditionalFormatting sqref="G22">
    <cfRule type="expression" dxfId="192" priority="13">
      <formula>AND($G$22&gt;1,$G$22&lt;($D$22+$E$22))</formula>
    </cfRule>
    <cfRule type="expression" dxfId="191" priority="457">
      <formula>AND($F$6&gt;=6,$G$22="")</formula>
    </cfRule>
  </conditionalFormatting>
  <conditionalFormatting sqref="G23">
    <cfRule type="expression" dxfId="190" priority="12">
      <formula>AND($G$23&gt;1,$G$23&lt;($D$23+$E$23))</formula>
    </cfRule>
    <cfRule type="expression" dxfId="189" priority="458">
      <formula>AND($F$6&gt;=7,$G$23="")</formula>
    </cfRule>
  </conditionalFormatting>
  <conditionalFormatting sqref="G24">
    <cfRule type="expression" dxfId="188" priority="11">
      <formula>AND($G$24&gt;1,$G$24&lt;($D$24+$E$24))</formula>
    </cfRule>
    <cfRule type="expression" dxfId="187" priority="459">
      <formula>AND($F$6&gt;=8,$G$24="")</formula>
    </cfRule>
  </conditionalFormatting>
  <conditionalFormatting sqref="G25">
    <cfRule type="expression" dxfId="186" priority="10">
      <formula>AND($G$25&gt;1,$G$25&lt;($D$25+$E$25))</formula>
    </cfRule>
    <cfRule type="expression" dxfId="185" priority="460">
      <formula>AND($F$6&gt;=9,$G$25="")</formula>
    </cfRule>
  </conditionalFormatting>
  <conditionalFormatting sqref="G26">
    <cfRule type="expression" dxfId="184" priority="9">
      <formula>AND($G$26&gt;1,$G$26&lt;($D$26+$E$26))</formula>
    </cfRule>
    <cfRule type="expression" dxfId="183" priority="461">
      <formula>AND($F$6&gt;=10,$G$26="")</formula>
    </cfRule>
  </conditionalFormatting>
  <conditionalFormatting sqref="H17">
    <cfRule type="expression" dxfId="182" priority="424">
      <formula>AND($F$6&gt;=1,$H$17="")</formula>
    </cfRule>
  </conditionalFormatting>
  <conditionalFormatting sqref="H18">
    <cfRule type="expression" dxfId="180" priority="428">
      <formula>AND($F$6&gt;=2,$H$18="")</formula>
    </cfRule>
  </conditionalFormatting>
  <conditionalFormatting sqref="H19">
    <cfRule type="expression" dxfId="177" priority="432">
      <formula>AND($F$6&gt;=3,$H$19="")</formula>
    </cfRule>
  </conditionalFormatting>
  <conditionalFormatting sqref="H20">
    <cfRule type="expression" dxfId="175" priority="436">
      <formula>AND($F$6&gt;=4,$H$20="")</formula>
    </cfRule>
  </conditionalFormatting>
  <conditionalFormatting sqref="H21">
    <cfRule type="expression" dxfId="174" priority="441">
      <formula>AND($F$6&gt;=5,$H$21="")</formula>
    </cfRule>
  </conditionalFormatting>
  <conditionalFormatting sqref="H22">
    <cfRule type="expression" dxfId="171" priority="462">
      <formula>AND($F$6&gt;=6,$H$22="")</formula>
    </cfRule>
  </conditionalFormatting>
  <conditionalFormatting sqref="H23">
    <cfRule type="expression" dxfId="169" priority="463">
      <formula>AND($F$6&gt;=7,$H$23="")</formula>
    </cfRule>
  </conditionalFormatting>
  <conditionalFormatting sqref="H24">
    <cfRule type="expression" dxfId="167" priority="464">
      <formula>AND($F$6&gt;=8,$H$24="")</formula>
    </cfRule>
  </conditionalFormatting>
  <conditionalFormatting sqref="H25">
    <cfRule type="expression" dxfId="165" priority="465">
      <formula>AND($F$6&gt;=9,$H$25="")</formula>
    </cfRule>
  </conditionalFormatting>
  <conditionalFormatting sqref="H26">
    <cfRule type="expression" dxfId="164" priority="466">
      <formula>AND($F$6&gt;=10,$H$26="")</formula>
    </cfRule>
  </conditionalFormatting>
  <conditionalFormatting sqref="H7:I7">
    <cfRule type="expression" dxfId="163" priority="163">
      <formula>$H$7="COMPANY NAME"</formula>
    </cfRule>
  </conditionalFormatting>
  <conditionalFormatting sqref="I18:I26">
    <cfRule type="expression" priority="348">
      <formula>IF($C$17="","",$C$17)</formula>
    </cfRule>
  </conditionalFormatting>
  <dataValidations count="24">
    <dataValidation type="list" allowBlank="1" showInputMessage="1" showErrorMessage="1" sqref="I17:I26" xr:uid="{00000000-0002-0000-0000-000000000000}">
      <formula1>FINISH</formula1>
    </dataValidation>
    <dataValidation type="list" allowBlank="1" showInputMessage="1" showErrorMessage="1" sqref="C17:C26" xr:uid="{00000000-0002-0000-0000-000001000000}">
      <formula1>CONFIG</formula1>
    </dataValidation>
    <dataValidation type="list" allowBlank="1" showInputMessage="1" showErrorMessage="1" sqref="D43:D52" xr:uid="{00000000-0002-0000-0000-000002000000}">
      <formula1>AMLOK</formula1>
    </dataValidation>
    <dataValidation type="list" allowBlank="1" showInputMessage="1" showErrorMessage="1" sqref="E43:E52" xr:uid="{00000000-0002-0000-0000-000003000000}">
      <formula1>AOPTION</formula1>
    </dataValidation>
    <dataValidation type="list" allowBlank="1" showInputMessage="1" showErrorMessage="1" sqref="K17:K26" xr:uid="{00000000-0002-0000-0000-000004000000}">
      <formula1>PAINT</formula1>
    </dataValidation>
    <dataValidation type="list" allowBlank="1" showInputMessage="1" showErrorMessage="1" sqref="D30:D39" xr:uid="{00000000-0002-0000-0000-000005000000}">
      <formula1>SP</formula1>
    </dataValidation>
    <dataValidation type="list" allowBlank="1" showInputMessage="1" showErrorMessage="1" sqref="E30:E39" xr:uid="{00000000-0002-0000-0000-000006000000}">
      <formula1>TG</formula1>
    </dataValidation>
    <dataValidation type="list" allowBlank="1" showInputMessage="1" showErrorMessage="1" sqref="G30:G39" xr:uid="{00000000-0002-0000-0000-000007000000}">
      <formula1>SF</formula1>
    </dataValidation>
    <dataValidation type="list" allowBlank="1" showInputMessage="1" showErrorMessage="1" sqref="H30:H39" xr:uid="{00000000-0002-0000-0000-000008000000}">
      <formula1>TM</formula1>
    </dataValidation>
    <dataValidation type="list" allowBlank="1" showInputMessage="1" showErrorMessage="1" sqref="I30:I39" xr:uid="{00000000-0002-0000-0000-000009000000}">
      <formula1>SD</formula1>
    </dataValidation>
    <dataValidation type="list" allowBlank="1" showInputMessage="1" showErrorMessage="1" sqref="J30:J39" xr:uid="{00000000-0002-0000-0000-00000A000000}">
      <formula1>STRIKERS</formula1>
    </dataValidation>
    <dataValidation type="list" allowBlank="1" showInputMessage="1" showErrorMessage="1" sqref="K30:K39" xr:uid="{00000000-0002-0000-0000-00000B000000}">
      <formula1>DAS</formula1>
    </dataValidation>
    <dataValidation type="list" allowBlank="1" showInputMessage="1" showErrorMessage="1" sqref="L30:L39" xr:uid="{00000000-0002-0000-0000-00000C000000}">
      <formula1>DOPTION</formula1>
    </dataValidation>
    <dataValidation type="list" allowBlank="1" showInputMessage="1" showErrorMessage="1" sqref="F43:F52" xr:uid="{00000000-0002-0000-0000-00000D000000}">
      <formula1>KL</formula1>
    </dataValidation>
    <dataValidation type="list" allowBlank="1" showInputMessage="1" showErrorMessage="1" sqref="G43:G52" xr:uid="{00000000-0002-0000-0000-00000E000000}">
      <formula1>LIFT</formula1>
    </dataValidation>
    <dataValidation type="list" allowBlank="1" showInputMessage="1" showErrorMessage="1" sqref="H43:H52" xr:uid="{00000000-0002-0000-0000-00000F000000}">
      <formula1>PS</formula1>
    </dataValidation>
    <dataValidation type="list" allowBlank="1" showInputMessage="1" showErrorMessage="1" sqref="I43:I52" xr:uid="{00000000-0002-0000-0000-000010000000}">
      <formula1>NP</formula1>
    </dataValidation>
    <dataValidation type="list" allowBlank="1" showInputMessage="1" showErrorMessage="1" sqref="J43:J52" xr:uid="{00000000-0002-0000-0000-000011000000}">
      <formula1>LB</formula1>
    </dataValidation>
    <dataValidation type="list" allowBlank="1" showInputMessage="1" showErrorMessage="1" sqref="K43:K52" xr:uid="{00000000-0002-0000-0000-000012000000}">
      <formula1>LOPTION</formula1>
    </dataValidation>
    <dataValidation type="list" allowBlank="1" showInputMessage="1" showErrorMessage="1" sqref="L43:L52" xr:uid="{00000000-0002-0000-0000-000013000000}">
      <formula1>LENGTH</formula1>
    </dataValidation>
    <dataValidation type="whole" allowBlank="1" showInputMessage="1" showErrorMessage="1" error="PLEASE NOTE:  THIS FORM WILL ONLY ALLOW QTY's UP TO TEN._x000a__x000a_PLEASE SUBMIT AN ADDITIONAL FORM FOR THE ADDITIONAL DOORS REQUIRED." sqref="F6:F7" xr:uid="{00000000-0002-0000-0000-000014000000}">
      <formula1>1</formula1>
      <formula2>10</formula2>
    </dataValidation>
    <dataValidation type="list" allowBlank="1" showInputMessage="1" showErrorMessage="1" sqref="C30:C39" xr:uid="{00000000-0002-0000-0000-000016000000}">
      <formula1>SHOES</formula1>
    </dataValidation>
    <dataValidation type="list" allowBlank="1" showInputMessage="1" showErrorMessage="1" sqref="L17:L26" xr:uid="{00000000-0002-0000-0000-000018000000}">
      <formula1>POPTION</formula1>
    </dataValidation>
    <dataValidation type="decimal" allowBlank="1" showInputMessage="1" showErrorMessage="1" errorTitle="Numbers Required" error="This cell will only allow numbers and fractions.  _x000a__x000a_The value you have entered exceeds the maximum for this cell." sqref="D17:H26" xr:uid="{7457B758-EC63-441B-9FEB-FF19A761D712}">
      <formula1>1</formula1>
      <formula2>120</formula2>
    </dataValidation>
  </dataValidations>
  <printOptions horizontalCentered="1" verticalCentered="1"/>
  <pageMargins left="0.11811023622047245" right="0.11811023622047245" top="0.11811023622047245" bottom="0.11811023622047245" header="0.11811023622047245" footer="0.11811023622047245"/>
  <pageSetup scale="44" fitToWidth="6" orientation="portrait" r:id="rId1"/>
  <ignoredErrors>
    <ignoredError sqref="K6:K12" unlockedFormula="1"/>
  </ignoredErrors>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82" id="{280E8898-4E8C-430F-BA13-0F1F4CEB1FE9}">
            <xm:f>$C$30=' '!$J$7</xm:f>
            <x14:dxf>
              <font>
                <color rgb="FFFF0000"/>
              </font>
              <fill>
                <patternFill>
                  <bgColor rgb="FFFFFF00"/>
                </patternFill>
              </fill>
            </x14:dxf>
          </x14:cfRule>
          <xm:sqref>C30</xm:sqref>
        </x14:conditionalFormatting>
        <x14:conditionalFormatting xmlns:xm="http://schemas.microsoft.com/office/excel/2006/main">
          <x14:cfRule type="expression" priority="81" id="{0783FB86-BC05-495E-BD72-80A6C40DBA55}">
            <xm:f>$C$31=' '!$J$7</xm:f>
            <x14:dxf>
              <font>
                <color rgb="FFFF0000"/>
              </font>
              <fill>
                <patternFill>
                  <bgColor rgb="FFFFFF00"/>
                </patternFill>
              </fill>
            </x14:dxf>
          </x14:cfRule>
          <xm:sqref>C31</xm:sqref>
        </x14:conditionalFormatting>
        <x14:conditionalFormatting xmlns:xm="http://schemas.microsoft.com/office/excel/2006/main">
          <x14:cfRule type="expression" priority="80" id="{3522245F-2B11-40DD-8001-4A1382758171}">
            <xm:f>$C$32=' '!$J$7</xm:f>
            <x14:dxf>
              <font>
                <color rgb="FFFF0000"/>
              </font>
              <fill>
                <patternFill>
                  <bgColor rgb="FFFFFF00"/>
                </patternFill>
              </fill>
            </x14:dxf>
          </x14:cfRule>
          <xm:sqref>C32</xm:sqref>
        </x14:conditionalFormatting>
        <x14:conditionalFormatting xmlns:xm="http://schemas.microsoft.com/office/excel/2006/main">
          <x14:cfRule type="expression" priority="79" id="{20C0FF1D-9A4D-421D-85C6-583205623DED}">
            <xm:f>$C$33=' '!$J$7</xm:f>
            <x14:dxf>
              <font>
                <color rgb="FFFF0000"/>
              </font>
              <fill>
                <patternFill>
                  <bgColor rgb="FFFFFF00"/>
                </patternFill>
              </fill>
            </x14:dxf>
          </x14:cfRule>
          <xm:sqref>C33</xm:sqref>
        </x14:conditionalFormatting>
        <x14:conditionalFormatting xmlns:xm="http://schemas.microsoft.com/office/excel/2006/main">
          <x14:cfRule type="expression" priority="78" id="{0CA472BF-7EEA-4D16-9692-950FFEA775E0}">
            <xm:f>$C$34=' '!$J$7</xm:f>
            <x14:dxf>
              <font>
                <color rgb="FFFF0000"/>
              </font>
              <fill>
                <patternFill>
                  <bgColor rgb="FFFFFF00"/>
                </patternFill>
              </fill>
            </x14:dxf>
          </x14:cfRule>
          <xm:sqref>C34</xm:sqref>
        </x14:conditionalFormatting>
        <x14:conditionalFormatting xmlns:xm="http://schemas.microsoft.com/office/excel/2006/main">
          <x14:cfRule type="expression" priority="77" id="{7C3A7317-A6BE-449B-B0F2-930AAA879262}">
            <xm:f>$C$35=' '!$J$7</xm:f>
            <x14:dxf>
              <font>
                <color rgb="FFFF0000"/>
              </font>
              <fill>
                <patternFill>
                  <bgColor rgb="FFFFFF00"/>
                </patternFill>
              </fill>
            </x14:dxf>
          </x14:cfRule>
          <xm:sqref>C35</xm:sqref>
        </x14:conditionalFormatting>
        <x14:conditionalFormatting xmlns:xm="http://schemas.microsoft.com/office/excel/2006/main">
          <x14:cfRule type="expression" priority="76" id="{6100A3C5-FF01-4C7E-BAE0-8644AADF6157}">
            <xm:f>$C$36=' '!$J$7</xm:f>
            <x14:dxf>
              <font>
                <color rgb="FFFF0000"/>
              </font>
              <fill>
                <patternFill>
                  <bgColor rgb="FFFFFF00"/>
                </patternFill>
              </fill>
            </x14:dxf>
          </x14:cfRule>
          <xm:sqref>C36</xm:sqref>
        </x14:conditionalFormatting>
        <x14:conditionalFormatting xmlns:xm="http://schemas.microsoft.com/office/excel/2006/main">
          <x14:cfRule type="expression" priority="75" id="{B75763B9-C6CD-49F7-A45A-557B7D185369}">
            <xm:f>$C$37=' '!$J$7</xm:f>
            <x14:dxf>
              <font>
                <color rgb="FFFF0000"/>
              </font>
              <fill>
                <patternFill>
                  <bgColor rgb="FFFFFF00"/>
                </patternFill>
              </fill>
            </x14:dxf>
          </x14:cfRule>
          <xm:sqref>C37</xm:sqref>
        </x14:conditionalFormatting>
        <x14:conditionalFormatting xmlns:xm="http://schemas.microsoft.com/office/excel/2006/main">
          <x14:cfRule type="expression" priority="74" id="{67CEED2F-9DCF-47CE-B315-FDC691E25390}">
            <xm:f>$C$38=' '!$J$7</xm:f>
            <x14:dxf>
              <font>
                <color rgb="FFFF0000"/>
              </font>
              <fill>
                <patternFill>
                  <bgColor rgb="FFFFFF00"/>
                </patternFill>
              </fill>
            </x14:dxf>
          </x14:cfRule>
          <xm:sqref>C38</xm:sqref>
        </x14:conditionalFormatting>
        <x14:conditionalFormatting xmlns:xm="http://schemas.microsoft.com/office/excel/2006/main">
          <x14:cfRule type="expression" priority="73" id="{718A862F-DF88-4007-BA39-72BF5360498A}">
            <xm:f>$C$39=' '!$J$7</xm:f>
            <x14:dxf>
              <font>
                <color rgb="FFFF0000"/>
              </font>
              <fill>
                <patternFill>
                  <bgColor rgb="FFFFFF00"/>
                </patternFill>
              </fill>
            </x14:dxf>
          </x14:cfRule>
          <xm:sqref>C39</xm:sqref>
        </x14:conditionalFormatting>
        <x14:conditionalFormatting xmlns:xm="http://schemas.microsoft.com/office/excel/2006/main">
          <x14:cfRule type="expression" priority="52" id="{408E8F2F-93EE-4ED1-89A4-0A54321C9CF9}">
            <xm:f>AND($E$17&gt;1,'-'!$F$18="NO")</xm:f>
            <x14:dxf>
              <font>
                <b val="0"/>
                <i val="0"/>
                <strike val="0"/>
                <color auto="1"/>
              </font>
              <fill>
                <patternFill>
                  <bgColor rgb="FFFF0000"/>
                </patternFill>
              </fill>
            </x14:dxf>
          </x14:cfRule>
          <xm:sqref>D17</xm:sqref>
        </x14:conditionalFormatting>
        <x14:conditionalFormatting xmlns:xm="http://schemas.microsoft.com/office/excel/2006/main">
          <x14:cfRule type="expression" priority="51" id="{544A6068-9A6F-42AB-8EBD-3D99FD220F30}">
            <xm:f>AND($E$18&gt;1,'-'!$F$19="NO")</xm:f>
            <x14:dxf>
              <font>
                <b val="0"/>
                <i val="0"/>
                <color auto="1"/>
              </font>
              <fill>
                <patternFill>
                  <bgColor rgb="FFFF0000"/>
                </patternFill>
              </fill>
            </x14:dxf>
          </x14:cfRule>
          <xm:sqref>D18</xm:sqref>
        </x14:conditionalFormatting>
        <x14:conditionalFormatting xmlns:xm="http://schemas.microsoft.com/office/excel/2006/main">
          <x14:cfRule type="expression" priority="50" id="{3DC155AA-6A64-454B-9FD0-199A480A9B8E}">
            <xm:f>AND($E$19&gt;1,'-'!$F$20="NO")</xm:f>
            <x14:dxf>
              <font>
                <b val="0"/>
                <i val="0"/>
                <strike val="0"/>
                <color auto="1"/>
              </font>
              <fill>
                <patternFill>
                  <bgColor rgb="FFFF0000"/>
                </patternFill>
              </fill>
            </x14:dxf>
          </x14:cfRule>
          <xm:sqref>D19</xm:sqref>
        </x14:conditionalFormatting>
        <x14:conditionalFormatting xmlns:xm="http://schemas.microsoft.com/office/excel/2006/main">
          <x14:cfRule type="expression" priority="49" id="{9D092E86-02C3-4E40-8D57-2FEF71E5F95A}">
            <xm:f>AND($E$20&gt;1,'-'!$F$21="NO")</xm:f>
            <x14:dxf>
              <font>
                <b val="0"/>
                <i val="0"/>
                <color auto="1"/>
              </font>
              <fill>
                <patternFill>
                  <bgColor rgb="FFFF0000"/>
                </patternFill>
              </fill>
            </x14:dxf>
          </x14:cfRule>
          <xm:sqref>D20</xm:sqref>
        </x14:conditionalFormatting>
        <x14:conditionalFormatting xmlns:xm="http://schemas.microsoft.com/office/excel/2006/main">
          <x14:cfRule type="expression" priority="48" id="{43A234FC-DAF6-4BA7-9130-61F1DEC8358B}">
            <xm:f>AND($E$21&gt;1,'-'!$F$22="NO")</xm:f>
            <x14:dxf>
              <font>
                <b val="0"/>
                <i val="0"/>
                <color auto="1"/>
              </font>
              <fill>
                <patternFill>
                  <bgColor rgb="FFFF0000"/>
                </patternFill>
              </fill>
            </x14:dxf>
          </x14:cfRule>
          <xm:sqref>D21</xm:sqref>
        </x14:conditionalFormatting>
        <x14:conditionalFormatting xmlns:xm="http://schemas.microsoft.com/office/excel/2006/main">
          <x14:cfRule type="expression" priority="47" id="{54D4CD21-2F4A-409D-A733-9B46E1EB7C1E}">
            <xm:f>AND($E$22&gt;1,'-'!$F$23="NO")</xm:f>
            <x14:dxf>
              <font>
                <b val="0"/>
                <i val="0"/>
                <color auto="1"/>
              </font>
              <fill>
                <patternFill>
                  <bgColor rgb="FFFF0000"/>
                </patternFill>
              </fill>
            </x14:dxf>
          </x14:cfRule>
          <xm:sqref>D22</xm:sqref>
        </x14:conditionalFormatting>
        <x14:conditionalFormatting xmlns:xm="http://schemas.microsoft.com/office/excel/2006/main">
          <x14:cfRule type="expression" priority="46" id="{263E1E3C-FCFD-4F45-93CF-F772C32B3B30}">
            <xm:f>AND($E$23&gt;1,'-'!$F$24="NO")</xm:f>
            <x14:dxf>
              <font>
                <b val="0"/>
                <i val="0"/>
                <color auto="1"/>
              </font>
              <fill>
                <patternFill>
                  <bgColor rgb="FFFF0000"/>
                </patternFill>
              </fill>
            </x14:dxf>
          </x14:cfRule>
          <xm:sqref>D23</xm:sqref>
        </x14:conditionalFormatting>
        <x14:conditionalFormatting xmlns:xm="http://schemas.microsoft.com/office/excel/2006/main">
          <x14:cfRule type="expression" priority="45" id="{245BB4BE-A56F-4474-A412-47E95F447060}">
            <xm:f>AND($E$24&gt;1,'-'!$F$25="NO")</xm:f>
            <x14:dxf>
              <font>
                <b val="0"/>
                <i val="0"/>
                <color auto="1"/>
              </font>
              <fill>
                <patternFill>
                  <bgColor rgb="FFFF0000"/>
                </patternFill>
              </fill>
            </x14:dxf>
          </x14:cfRule>
          <xm:sqref>D24</xm:sqref>
        </x14:conditionalFormatting>
        <x14:conditionalFormatting xmlns:xm="http://schemas.microsoft.com/office/excel/2006/main">
          <x14:cfRule type="expression" priority="44" id="{3B0E1973-83B0-4411-8D48-EB219A9B412C}">
            <xm:f>AND($E$25&gt;1,'-'!$F$26="NO")</xm:f>
            <x14:dxf>
              <font>
                <b val="0"/>
                <i val="0"/>
                <color auto="1"/>
              </font>
              <fill>
                <patternFill>
                  <bgColor rgb="FFFF0000"/>
                </patternFill>
              </fill>
            </x14:dxf>
          </x14:cfRule>
          <xm:sqref>D25</xm:sqref>
        </x14:conditionalFormatting>
        <x14:conditionalFormatting xmlns:xm="http://schemas.microsoft.com/office/excel/2006/main">
          <x14:cfRule type="expression" priority="43" id="{F2AC4E0A-0ADD-4D34-B8EA-4C86A7505B79}">
            <xm:f>AND($E$26&gt;1,'-'!$F$27="NO")</xm:f>
            <x14:dxf>
              <font>
                <b val="0"/>
                <i val="0"/>
                <color auto="1"/>
              </font>
              <fill>
                <patternFill>
                  <bgColor rgb="FFFF0000"/>
                </patternFill>
              </fill>
            </x14:dxf>
          </x14:cfRule>
          <xm:sqref>D26</xm:sqref>
        </x14:conditionalFormatting>
        <x14:conditionalFormatting xmlns:xm="http://schemas.microsoft.com/office/excel/2006/main">
          <x14:cfRule type="expression" priority="62" id="{C56C5258-8939-4FD8-BAE7-A1434F337045}">
            <xm:f>$F$43=' '!$D$45</xm:f>
            <x14:dxf>
              <font>
                <color rgb="FFFF0000"/>
              </font>
              <fill>
                <patternFill>
                  <bgColor rgb="FFFFFF00"/>
                </patternFill>
              </fill>
            </x14:dxf>
          </x14:cfRule>
          <xm:sqref>F43</xm:sqref>
        </x14:conditionalFormatting>
        <x14:conditionalFormatting xmlns:xm="http://schemas.microsoft.com/office/excel/2006/main">
          <x14:cfRule type="expression" priority="61" id="{B9C9AB80-1DCB-490F-850D-27D1735CE59D}">
            <xm:f>$F$44=' '!$D$45</xm:f>
            <x14:dxf>
              <font>
                <color rgb="FFFF0000"/>
              </font>
              <fill>
                <patternFill>
                  <bgColor rgb="FFFFFF00"/>
                </patternFill>
              </fill>
            </x14:dxf>
          </x14:cfRule>
          <xm:sqref>F44</xm:sqref>
        </x14:conditionalFormatting>
        <x14:conditionalFormatting xmlns:xm="http://schemas.microsoft.com/office/excel/2006/main">
          <x14:cfRule type="expression" priority="60" id="{C2D75F3F-D3D3-47FE-B6FB-A02685285C5E}">
            <xm:f>$F$45=' '!$D$45</xm:f>
            <x14:dxf>
              <font>
                <color rgb="FFFF0000"/>
              </font>
              <fill>
                <patternFill>
                  <bgColor rgb="FFFFFF00"/>
                </patternFill>
              </fill>
            </x14:dxf>
          </x14:cfRule>
          <xm:sqref>F45</xm:sqref>
        </x14:conditionalFormatting>
        <x14:conditionalFormatting xmlns:xm="http://schemas.microsoft.com/office/excel/2006/main">
          <x14:cfRule type="expression" priority="59" id="{44040D6F-D0B2-4BC8-8AC7-CB8CB2A33C27}">
            <xm:f>$F$46=' '!$D$45</xm:f>
            <x14:dxf>
              <font>
                <color rgb="FFFF0000"/>
              </font>
              <fill>
                <patternFill>
                  <bgColor rgb="FFFFFF00"/>
                </patternFill>
              </fill>
            </x14:dxf>
          </x14:cfRule>
          <xm:sqref>F46</xm:sqref>
        </x14:conditionalFormatting>
        <x14:conditionalFormatting xmlns:xm="http://schemas.microsoft.com/office/excel/2006/main">
          <x14:cfRule type="expression" priority="58" id="{7F266A3D-FD5C-421C-AC8B-8D82D280D25A}">
            <xm:f>$F$47=' '!$D$45</xm:f>
            <x14:dxf>
              <font>
                <color rgb="FFFF0000"/>
              </font>
              <fill>
                <patternFill>
                  <bgColor rgb="FFFFFF00"/>
                </patternFill>
              </fill>
            </x14:dxf>
          </x14:cfRule>
          <xm:sqref>F47</xm:sqref>
        </x14:conditionalFormatting>
        <x14:conditionalFormatting xmlns:xm="http://schemas.microsoft.com/office/excel/2006/main">
          <x14:cfRule type="expression" priority="57" id="{D4831452-630B-46EA-B507-DEAE1699FFE9}">
            <xm:f>$F$48=' '!$D$45</xm:f>
            <x14:dxf>
              <font>
                <color rgb="FFFF0000"/>
              </font>
              <fill>
                <patternFill>
                  <bgColor rgb="FFFFFF00"/>
                </patternFill>
              </fill>
            </x14:dxf>
          </x14:cfRule>
          <xm:sqref>F48</xm:sqref>
        </x14:conditionalFormatting>
        <x14:conditionalFormatting xmlns:xm="http://schemas.microsoft.com/office/excel/2006/main">
          <x14:cfRule type="expression" priority="56" id="{D587E828-85D6-439F-9D3E-6B43B8D8DDC9}">
            <xm:f>$F$49=' '!$D$45</xm:f>
            <x14:dxf>
              <font>
                <color rgb="FFFF0000"/>
              </font>
              <fill>
                <patternFill>
                  <bgColor rgb="FFFFFF00"/>
                </patternFill>
              </fill>
            </x14:dxf>
          </x14:cfRule>
          <xm:sqref>F49</xm:sqref>
        </x14:conditionalFormatting>
        <x14:conditionalFormatting xmlns:xm="http://schemas.microsoft.com/office/excel/2006/main">
          <x14:cfRule type="expression" priority="55" id="{564074D9-7D14-4E13-A381-33BC0CA9263D}">
            <xm:f>$F$50=' '!$D$45</xm:f>
            <x14:dxf>
              <font>
                <color rgb="FFFF0000"/>
              </font>
              <fill>
                <patternFill>
                  <bgColor rgb="FFFFFF00"/>
                </patternFill>
              </fill>
            </x14:dxf>
          </x14:cfRule>
          <xm:sqref>F50</xm:sqref>
        </x14:conditionalFormatting>
        <x14:conditionalFormatting xmlns:xm="http://schemas.microsoft.com/office/excel/2006/main">
          <x14:cfRule type="expression" priority="54" id="{0F65924F-B326-44E7-BB5F-E887390D748F}">
            <xm:f>$F$51=' '!$D$45</xm:f>
            <x14:dxf>
              <font>
                <color rgb="FFFF0000"/>
              </font>
              <fill>
                <patternFill>
                  <bgColor rgb="FFFFFF00"/>
                </patternFill>
              </fill>
            </x14:dxf>
          </x14:cfRule>
          <xm:sqref>F51</xm:sqref>
        </x14:conditionalFormatting>
        <x14:conditionalFormatting xmlns:xm="http://schemas.microsoft.com/office/excel/2006/main">
          <x14:cfRule type="expression" priority="53" id="{84894E0D-0536-4396-8052-DA0BAB1A32E9}">
            <xm:f>$F$52=' '!$D$45</xm:f>
            <x14:dxf>
              <font>
                <color rgb="FFFF0000"/>
              </font>
              <fill>
                <patternFill>
                  <bgColor rgb="FFFFFF00"/>
                </patternFill>
              </fill>
            </x14:dxf>
          </x14:cfRule>
          <xm:sqref>F52</xm:sqref>
        </x14:conditionalFormatting>
        <x14:conditionalFormatting xmlns:xm="http://schemas.microsoft.com/office/excel/2006/main">
          <x14:cfRule type="expression" priority="32" id="{00000000-000E-0000-0000-000020000000}">
            <xm:f>AND($H$17&gt;1,'-'!$I$18&lt;'-'!$J$18)</xm:f>
            <x14:dxf>
              <fill>
                <patternFill>
                  <bgColor rgb="FFFF0000"/>
                </patternFill>
              </fill>
            </x14:dxf>
          </x14:cfRule>
          <xm:sqref>H17</xm:sqref>
        </x14:conditionalFormatting>
        <x14:conditionalFormatting xmlns:xm="http://schemas.microsoft.com/office/excel/2006/main">
          <x14:cfRule type="expression" priority="31" id="{00000000-000E-0000-0000-00001F000000}">
            <xm:f>AND($H$18&gt;1,'-'!$I$19&lt;'-'!$J$19)</xm:f>
            <x14:dxf>
              <fill>
                <patternFill>
                  <bgColor rgb="FFFF0000"/>
                </patternFill>
              </fill>
            </x14:dxf>
          </x14:cfRule>
          <xm:sqref>H18</xm:sqref>
        </x14:conditionalFormatting>
        <x14:conditionalFormatting xmlns:xm="http://schemas.microsoft.com/office/excel/2006/main">
          <x14:cfRule type="expression" priority="30" id="{00000000-000E-0000-0000-00001E000000}">
            <xm:f>AND($H$19&gt;1,'-'!$I$20&lt;'-'!$J$20)</xm:f>
            <x14:dxf>
              <fill>
                <patternFill>
                  <bgColor rgb="FFFF0000"/>
                </patternFill>
              </fill>
            </x14:dxf>
          </x14:cfRule>
          <xm:sqref>H19</xm:sqref>
        </x14:conditionalFormatting>
        <x14:conditionalFormatting xmlns:xm="http://schemas.microsoft.com/office/excel/2006/main">
          <x14:cfRule type="expression" priority="29" id="{00000000-000E-0000-0000-00001D000000}">
            <xm:f>AND($H$20&gt;1,'-'!$I$21&lt;'-'!$J$21)</xm:f>
            <x14:dxf>
              <fill>
                <patternFill>
                  <bgColor rgb="FFFF0000"/>
                </patternFill>
              </fill>
            </x14:dxf>
          </x14:cfRule>
          <xm:sqref>H20</xm:sqref>
        </x14:conditionalFormatting>
        <x14:conditionalFormatting xmlns:xm="http://schemas.microsoft.com/office/excel/2006/main">
          <x14:cfRule type="expression" priority="28" id="{00000000-000E-0000-0000-00001C000000}">
            <xm:f>AND($H$20&gt;1,'-'!$I$22&lt;'-'!$J$22)</xm:f>
            <x14:dxf>
              <fill>
                <patternFill>
                  <bgColor rgb="FFFF0000"/>
                </patternFill>
              </fill>
            </x14:dxf>
          </x14:cfRule>
          <xm:sqref>H21</xm:sqref>
        </x14:conditionalFormatting>
        <x14:conditionalFormatting xmlns:xm="http://schemas.microsoft.com/office/excel/2006/main">
          <x14:cfRule type="expression" priority="27" id="{00000000-000E-0000-0000-00001B000000}">
            <xm:f>AND($H$20&gt;1,'-'!$I$23&lt;'-'!$J$23)</xm:f>
            <x14:dxf>
              <fill>
                <patternFill>
                  <bgColor rgb="FFFF0000"/>
                </patternFill>
              </fill>
            </x14:dxf>
          </x14:cfRule>
          <xm:sqref>H22</xm:sqref>
        </x14:conditionalFormatting>
        <x14:conditionalFormatting xmlns:xm="http://schemas.microsoft.com/office/excel/2006/main">
          <x14:cfRule type="expression" priority="26" id="{00000000-000E-0000-0000-00001A000000}">
            <xm:f>AND($H$20&gt;1,'-'!$I$24&lt;'-'!$J$24)</xm:f>
            <x14:dxf>
              <fill>
                <patternFill>
                  <bgColor rgb="FFFF0000"/>
                </patternFill>
              </fill>
            </x14:dxf>
          </x14:cfRule>
          <xm:sqref>H23</xm:sqref>
        </x14:conditionalFormatting>
        <x14:conditionalFormatting xmlns:xm="http://schemas.microsoft.com/office/excel/2006/main">
          <x14:cfRule type="expression" priority="25" id="{00000000-000E-0000-0000-000019000000}">
            <xm:f>AND($H$20&gt;1,'-'!$I$25&lt;'-'!$J$25)</xm:f>
            <x14:dxf>
              <fill>
                <patternFill>
                  <bgColor rgb="FFFF0000"/>
                </patternFill>
              </fill>
            </x14:dxf>
          </x14:cfRule>
          <xm:sqref>H24</xm:sqref>
        </x14:conditionalFormatting>
        <x14:conditionalFormatting xmlns:xm="http://schemas.microsoft.com/office/excel/2006/main">
          <x14:cfRule type="expression" priority="24" id="{00000000-000E-0000-0000-000018000000}">
            <xm:f>AND($H$20&gt;1,'-'!$I$26&lt;'-'!$J$26)</xm:f>
            <x14:dxf>
              <fill>
                <patternFill>
                  <bgColor rgb="FFFF0000"/>
                </patternFill>
              </fill>
            </x14:dxf>
          </x14:cfRule>
          <xm:sqref>H25</xm:sqref>
        </x14:conditionalFormatting>
        <x14:conditionalFormatting xmlns:xm="http://schemas.microsoft.com/office/excel/2006/main">
          <x14:cfRule type="expression" priority="23" id="{00000000-000E-0000-0000-000017000000}">
            <xm:f>AND($H$20&gt;1,'-'!$I$27&lt;'-'!$J$27)</xm:f>
            <x14:dxf>
              <fill>
                <patternFill>
                  <bgColor rgb="FFFF0000"/>
                </patternFill>
              </fill>
            </x14:dxf>
          </x14:cfRule>
          <xm:sqref>H26</xm:sqref>
        </x14:conditionalFormatting>
        <x14:conditionalFormatting xmlns:xm="http://schemas.microsoft.com/office/excel/2006/main">
          <x14:cfRule type="expression" priority="8" id="{1E6C03BC-8006-4D5E-9C63-66E026440EA9}">
            <xm:f>$J$17=' '!$D$13</xm:f>
            <x14:dxf>
              <font>
                <b/>
                <i val="0"/>
                <color rgb="FFFF0000"/>
              </font>
              <fill>
                <patternFill>
                  <bgColor rgb="FFFFFF00"/>
                </patternFill>
              </fill>
            </x14:dxf>
          </x14:cfRule>
          <xm:sqref>J17</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CCD4EFAA-0F0F-4C96-A7BC-A524B4D27EBD}">
          <x14:formula1>
            <xm:f>IF(F17&lt;18,' '!N$44, IF(AND(E17&lt;=34,H17&lt;10.5),' '!N$45, IF(AND(E17&gt;34,E17&lt;=53,H17&lt;11.75),' '!N$46, IF(AND(E17&gt;53,H17&lt;12.375),' '!N$47,DS))))</xm:f>
          </x14:formula1>
          <xm:sqref>C43:C52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C000"/>
  </sheetPr>
  <dimension ref="A1:S36"/>
  <sheetViews>
    <sheetView topLeftCell="A49" workbookViewId="0">
      <selection activeCell="H24" sqref="H24"/>
    </sheetView>
  </sheetViews>
  <sheetFormatPr defaultRowHeight="15" x14ac:dyDescent="0.25"/>
  <cols>
    <col min="1" max="16384" width="9.140625" style="10"/>
  </cols>
  <sheetData>
    <row r="1" spans="1:19" ht="21" x14ac:dyDescent="0.35">
      <c r="A1" s="147" t="s">
        <v>67</v>
      </c>
      <c r="B1" s="147"/>
      <c r="C1" s="147"/>
      <c r="D1" s="147"/>
      <c r="E1" s="147"/>
      <c r="F1" s="147"/>
      <c r="G1" s="147"/>
      <c r="H1" s="147"/>
      <c r="J1" s="147" t="s">
        <v>457</v>
      </c>
      <c r="K1" s="147"/>
      <c r="L1" s="147"/>
      <c r="M1" s="147"/>
      <c r="O1" s="147" t="s">
        <v>458</v>
      </c>
      <c r="P1" s="147"/>
      <c r="Q1" s="147"/>
      <c r="R1" s="147"/>
      <c r="S1" s="147"/>
    </row>
    <row r="10" spans="1:19" ht="21" x14ac:dyDescent="0.35">
      <c r="A10" s="147" t="s">
        <v>459</v>
      </c>
      <c r="B10" s="147"/>
      <c r="C10" s="147"/>
      <c r="D10" s="147"/>
      <c r="E10" s="147"/>
      <c r="F10" s="147"/>
      <c r="G10" s="147"/>
      <c r="H10" s="147"/>
      <c r="J10" s="147" t="s">
        <v>460</v>
      </c>
      <c r="K10" s="147"/>
      <c r="L10" s="147"/>
      <c r="M10" s="147"/>
      <c r="O10" s="147"/>
      <c r="P10" s="147"/>
      <c r="Q10" s="54"/>
      <c r="R10" s="54"/>
    </row>
    <row r="12" spans="1:19" ht="21" x14ac:dyDescent="0.35">
      <c r="O12" s="147" t="s">
        <v>461</v>
      </c>
      <c r="P12" s="147"/>
      <c r="Q12" s="147"/>
      <c r="R12" s="147"/>
      <c r="S12" s="147"/>
    </row>
    <row r="16" spans="1:19" ht="21" x14ac:dyDescent="0.35">
      <c r="A16" s="147" t="s">
        <v>462</v>
      </c>
      <c r="B16" s="147"/>
      <c r="C16" s="147"/>
      <c r="D16" s="54"/>
      <c r="E16" s="147" t="s">
        <v>463</v>
      </c>
      <c r="F16" s="147"/>
      <c r="G16" s="147"/>
      <c r="H16" s="54"/>
    </row>
    <row r="17" spans="5:19" x14ac:dyDescent="0.25">
      <c r="E17" s="119" t="s">
        <v>464</v>
      </c>
      <c r="F17" s="119"/>
      <c r="G17" s="119"/>
    </row>
    <row r="20" spans="5:19" ht="21" x14ac:dyDescent="0.35">
      <c r="J20" s="147" t="s">
        <v>465</v>
      </c>
      <c r="K20" s="147"/>
      <c r="L20" s="147"/>
      <c r="M20" s="147"/>
      <c r="N20" s="54"/>
      <c r="O20" s="147"/>
      <c r="P20" s="147"/>
      <c r="Q20" s="147"/>
      <c r="R20" s="147"/>
      <c r="S20" s="147"/>
    </row>
    <row r="23" spans="5:19" ht="21" x14ac:dyDescent="0.35">
      <c r="E23" s="119"/>
      <c r="F23" s="119"/>
      <c r="G23" s="119"/>
      <c r="O23" s="147" t="s">
        <v>466</v>
      </c>
      <c r="P23" s="147"/>
      <c r="Q23" s="147"/>
      <c r="R23" s="147"/>
      <c r="S23" s="147"/>
    </row>
    <row r="24" spans="5:19" x14ac:dyDescent="0.25">
      <c r="O24" s="149" t="s">
        <v>468</v>
      </c>
      <c r="P24" s="149"/>
      <c r="Q24" s="149"/>
      <c r="R24" s="149"/>
      <c r="S24" s="149"/>
    </row>
    <row r="25" spans="5:19" x14ac:dyDescent="0.25">
      <c r="E25" s="148" t="s">
        <v>467</v>
      </c>
      <c r="F25" s="148"/>
      <c r="G25" s="148"/>
    </row>
    <row r="26" spans="5:19" ht="21" x14ac:dyDescent="0.35">
      <c r="E26" s="147" t="s">
        <v>90</v>
      </c>
      <c r="F26" s="147"/>
      <c r="G26" s="147"/>
      <c r="K26" s="55" t="s">
        <v>469</v>
      </c>
    </row>
    <row r="31" spans="5:19" x14ac:dyDescent="0.25">
      <c r="L31" s="148" t="s">
        <v>470</v>
      </c>
      <c r="M31" s="148"/>
      <c r="O31" s="119"/>
      <c r="P31" s="119"/>
      <c r="R31" s="119"/>
      <c r="S31" s="119"/>
    </row>
    <row r="36" spans="6:6" x14ac:dyDescent="0.25">
      <c r="F36" s="41"/>
    </row>
  </sheetData>
  <sheetProtection algorithmName="SHA-512" hashValue="+p9ymSaI0jwF1PGpyui74DG41c/V4wlFzRfHCdlbWfdfbnjb9fN8SGc0UOGIHUNXyHADPTuKURWpgpa810myUQ==" saltValue="Mulvf4lkoIjBQEpgRn3epA==" spinCount="100000" sheet="1" objects="1" scenarios="1"/>
  <mergeCells count="20">
    <mergeCell ref="L31:M31"/>
    <mergeCell ref="O31:P31"/>
    <mergeCell ref="R31:S31"/>
    <mergeCell ref="E23:G23"/>
    <mergeCell ref="O23:S23"/>
    <mergeCell ref="E25:G25"/>
    <mergeCell ref="O24:S24"/>
    <mergeCell ref="E26:G26"/>
    <mergeCell ref="O12:S12"/>
    <mergeCell ref="A16:C16"/>
    <mergeCell ref="E16:G16"/>
    <mergeCell ref="E17:G17"/>
    <mergeCell ref="J20:M20"/>
    <mergeCell ref="O20:S20"/>
    <mergeCell ref="A1:H1"/>
    <mergeCell ref="J1:M1"/>
    <mergeCell ref="O1:S1"/>
    <mergeCell ref="A10:H10"/>
    <mergeCell ref="J10:M10"/>
    <mergeCell ref="O10:P10"/>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tabColor rgb="FFFFFF00"/>
  </sheetPr>
  <dimension ref="A1"/>
  <sheetViews>
    <sheetView topLeftCell="A34" workbookViewId="0">
      <selection activeCell="W23" sqref="W23"/>
    </sheetView>
  </sheetViews>
  <sheetFormatPr defaultRowHeight="15" x14ac:dyDescent="0.25"/>
  <cols>
    <col min="1" max="16384" width="9.140625" style="10"/>
  </cols>
  <sheetData/>
  <sheetProtection algorithmName="SHA-512" hashValue="CFIpRd5XGuDN+kunRyGlvVYZc1PdqlI84Dur0QEiC39UiopTRjfserpqUJKoGdI7SAsw93LoNo9HEbZyWbpGmA==" saltValue="sO8AAHXNTc27PCwYjGnO1w==" spinCount="100000" sheet="1" objects="1" scenarios="1"/>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theme="1"/>
    <pageSetUpPr fitToPage="1"/>
  </sheetPr>
  <dimension ref="A1:P89"/>
  <sheetViews>
    <sheetView workbookViewId="0">
      <selection activeCell="H5" sqref="H5"/>
    </sheetView>
  </sheetViews>
  <sheetFormatPr defaultColWidth="13.7109375" defaultRowHeight="12.75" x14ac:dyDescent="0.2"/>
  <cols>
    <col min="1" max="1" width="14.7109375" style="59" bestFit="1" customWidth="1"/>
    <col min="2" max="2" width="24.42578125" style="59" bestFit="1" customWidth="1"/>
    <col min="3" max="3" width="12.140625" style="59" bestFit="1" customWidth="1"/>
    <col min="4" max="4" width="25" style="59" bestFit="1" customWidth="1"/>
    <col min="5" max="5" width="13.28515625" style="59" bestFit="1" customWidth="1"/>
    <col min="6" max="6" width="13.42578125" style="59" bestFit="1" customWidth="1"/>
    <col min="7" max="7" width="16.42578125" style="59" bestFit="1" customWidth="1"/>
    <col min="8" max="8" width="25.42578125" style="59" bestFit="1" customWidth="1"/>
    <col min="9" max="9" width="13.7109375" style="59" bestFit="1" customWidth="1"/>
    <col min="10" max="10" width="26.28515625" style="59" bestFit="1" customWidth="1"/>
    <col min="11" max="11" width="13.28515625" style="59" bestFit="1" customWidth="1"/>
    <col min="12" max="12" width="27.7109375" style="59" bestFit="1" customWidth="1"/>
    <col min="13" max="13" width="15.7109375" style="59" bestFit="1" customWidth="1"/>
    <col min="14" max="14" width="21" style="59" bestFit="1" customWidth="1"/>
    <col min="15" max="15" width="16.42578125" style="59" bestFit="1" customWidth="1"/>
    <col min="16" max="16" width="21" style="59" customWidth="1"/>
    <col min="17" max="16384" width="13.7109375" style="59"/>
  </cols>
  <sheetData>
    <row r="1" spans="1:14" x14ac:dyDescent="0.2">
      <c r="A1" s="58" t="s">
        <v>451</v>
      </c>
    </row>
    <row r="2" spans="1:14" s="60" customFormat="1" ht="21" x14ac:dyDescent="0.35">
      <c r="C2" s="150" t="s">
        <v>66</v>
      </c>
      <c r="D2" s="150"/>
      <c r="E2" s="150"/>
      <c r="F2" s="150"/>
      <c r="G2" s="150"/>
      <c r="H2" s="150"/>
      <c r="I2" s="150" t="s">
        <v>79</v>
      </c>
      <c r="J2" s="150"/>
      <c r="K2" s="150"/>
      <c r="L2" s="150"/>
      <c r="M2" s="150"/>
      <c r="N2" s="150"/>
    </row>
    <row r="3" spans="1:14" s="61" customFormat="1" ht="12" x14ac:dyDescent="0.2">
      <c r="D3" s="61" t="s">
        <v>240</v>
      </c>
      <c r="F3" s="61" t="s">
        <v>241</v>
      </c>
      <c r="H3" s="61" t="s">
        <v>242</v>
      </c>
      <c r="J3" s="61" t="s">
        <v>243</v>
      </c>
      <c r="L3" s="61" t="s">
        <v>244</v>
      </c>
      <c r="N3" s="61" t="s">
        <v>245</v>
      </c>
    </row>
    <row r="4" spans="1:14" s="62" customFormat="1" ht="30" x14ac:dyDescent="0.25">
      <c r="A4" s="62" t="s">
        <v>111</v>
      </c>
      <c r="B4" s="63" t="s">
        <v>271</v>
      </c>
      <c r="C4" s="62" t="s">
        <v>111</v>
      </c>
      <c r="D4" s="63" t="s">
        <v>110</v>
      </c>
      <c r="E4" s="62" t="s">
        <v>111</v>
      </c>
      <c r="F4" s="63" t="s">
        <v>20</v>
      </c>
      <c r="G4" s="62" t="s">
        <v>111</v>
      </c>
      <c r="H4" s="63" t="s">
        <v>18</v>
      </c>
      <c r="I4" s="62" t="s">
        <v>111</v>
      </c>
      <c r="J4" s="64" t="s">
        <v>65</v>
      </c>
      <c r="K4" s="62" t="s">
        <v>111</v>
      </c>
      <c r="L4" s="63" t="s">
        <v>22</v>
      </c>
      <c r="M4" s="62" t="s">
        <v>111</v>
      </c>
      <c r="N4" s="63" t="s">
        <v>21</v>
      </c>
    </row>
    <row r="5" spans="1:14" ht="15" x14ac:dyDescent="0.25">
      <c r="B5" s="65" t="s">
        <v>424</v>
      </c>
      <c r="C5" s="59" t="s">
        <v>112</v>
      </c>
      <c r="D5" s="66" t="s">
        <v>423</v>
      </c>
      <c r="E5" s="59" t="s">
        <v>194</v>
      </c>
      <c r="F5" s="66" t="s">
        <v>15</v>
      </c>
      <c r="H5" s="66" t="s">
        <v>492</v>
      </c>
      <c r="I5" s="67"/>
      <c r="J5" s="66" t="s">
        <v>15</v>
      </c>
      <c r="L5" s="66" t="s">
        <v>425</v>
      </c>
      <c r="N5" s="66" t="s">
        <v>426</v>
      </c>
    </row>
    <row r="6" spans="1:14" ht="15" x14ac:dyDescent="0.25">
      <c r="A6" s="59" t="s">
        <v>288</v>
      </c>
      <c r="B6" s="65" t="s">
        <v>13</v>
      </c>
      <c r="C6" s="59" t="s">
        <v>112</v>
      </c>
      <c r="D6" s="66" t="s">
        <v>97</v>
      </c>
      <c r="E6" s="59" t="s">
        <v>323</v>
      </c>
      <c r="F6" s="66" t="s">
        <v>17</v>
      </c>
      <c r="G6" s="59" t="s">
        <v>193</v>
      </c>
      <c r="H6" s="66" t="s">
        <v>495</v>
      </c>
      <c r="I6" s="59" t="s">
        <v>448</v>
      </c>
      <c r="J6" s="66" t="s">
        <v>449</v>
      </c>
      <c r="K6" s="59" t="s">
        <v>195</v>
      </c>
      <c r="L6" s="66" t="s">
        <v>75</v>
      </c>
      <c r="M6" s="59" t="s">
        <v>198</v>
      </c>
      <c r="N6" s="66" t="s">
        <v>29</v>
      </c>
    </row>
    <row r="7" spans="1:14" ht="15" x14ac:dyDescent="0.25">
      <c r="A7" s="59" t="s">
        <v>288</v>
      </c>
      <c r="B7" s="65" t="s">
        <v>14</v>
      </c>
      <c r="C7" s="59" t="s">
        <v>191</v>
      </c>
      <c r="D7" s="66" t="s">
        <v>109</v>
      </c>
      <c r="E7" s="59" t="s">
        <v>444</v>
      </c>
      <c r="F7" s="66" t="s">
        <v>16</v>
      </c>
      <c r="G7" s="59" t="s">
        <v>193</v>
      </c>
      <c r="H7" s="66" t="s">
        <v>493</v>
      </c>
      <c r="J7" s="66" t="s">
        <v>453</v>
      </c>
      <c r="K7" s="59" t="s">
        <v>195</v>
      </c>
      <c r="L7" s="66" t="s">
        <v>294</v>
      </c>
      <c r="M7" s="59" t="s">
        <v>199</v>
      </c>
      <c r="N7" s="66" t="s">
        <v>30</v>
      </c>
    </row>
    <row r="8" spans="1:14" x14ac:dyDescent="0.2">
      <c r="C8" s="59" t="s">
        <v>112</v>
      </c>
      <c r="D8" s="66" t="s">
        <v>12</v>
      </c>
      <c r="F8" s="66"/>
      <c r="G8" s="59" t="s">
        <v>193</v>
      </c>
      <c r="H8" s="66" t="s">
        <v>494</v>
      </c>
      <c r="I8" s="67"/>
      <c r="K8" s="59" t="s">
        <v>196</v>
      </c>
      <c r="L8" s="66" t="s">
        <v>28</v>
      </c>
      <c r="M8" s="59" t="s">
        <v>200</v>
      </c>
      <c r="N8" s="66" t="s">
        <v>31</v>
      </c>
    </row>
    <row r="9" spans="1:14" x14ac:dyDescent="0.2">
      <c r="C9" s="59" t="s">
        <v>112</v>
      </c>
      <c r="D9" s="66" t="s">
        <v>96</v>
      </c>
      <c r="F9" s="66"/>
      <c r="G9" s="59" t="s">
        <v>201</v>
      </c>
      <c r="H9" s="66" t="s">
        <v>296</v>
      </c>
      <c r="I9" s="67"/>
      <c r="K9" s="59" t="s">
        <v>196</v>
      </c>
      <c r="L9" s="66" t="s">
        <v>295</v>
      </c>
      <c r="M9" s="59" t="s">
        <v>208</v>
      </c>
      <c r="N9" s="66" t="s">
        <v>260</v>
      </c>
    </row>
    <row r="10" spans="1:14" x14ac:dyDescent="0.2">
      <c r="C10" s="59" t="s">
        <v>112</v>
      </c>
      <c r="D10" s="66" t="s">
        <v>299</v>
      </c>
      <c r="G10" s="59" t="s">
        <v>202</v>
      </c>
      <c r="H10" s="66" t="s">
        <v>297</v>
      </c>
      <c r="I10" s="67"/>
      <c r="K10" s="59" t="s">
        <v>197</v>
      </c>
      <c r="L10" s="66" t="s">
        <v>27</v>
      </c>
      <c r="M10" s="59" t="s">
        <v>209</v>
      </c>
      <c r="N10" s="66" t="s">
        <v>261</v>
      </c>
    </row>
    <row r="11" spans="1:14" x14ac:dyDescent="0.2">
      <c r="B11" s="67"/>
      <c r="C11" s="59" t="s">
        <v>112</v>
      </c>
      <c r="D11" s="66" t="s">
        <v>298</v>
      </c>
      <c r="E11" s="67"/>
      <c r="F11" s="67"/>
      <c r="G11" s="67"/>
      <c r="K11" s="59" t="s">
        <v>197</v>
      </c>
      <c r="L11" s="66" t="s">
        <v>300</v>
      </c>
      <c r="N11" s="66" t="s">
        <v>439</v>
      </c>
    </row>
    <row r="12" spans="1:14" x14ac:dyDescent="0.2">
      <c r="B12" s="67"/>
      <c r="C12" s="67"/>
      <c r="D12" s="67"/>
      <c r="E12" s="67"/>
      <c r="F12" s="67"/>
      <c r="G12" s="59" t="s">
        <v>217</v>
      </c>
      <c r="H12" s="66" t="str">
        <f>CONCATENATE(D8," - ",F5)</f>
        <v>Painted - Standard (D)</v>
      </c>
    </row>
    <row r="13" spans="1:14" x14ac:dyDescent="0.2">
      <c r="B13" s="67"/>
      <c r="C13" s="67"/>
      <c r="D13" s="66" t="s">
        <v>483</v>
      </c>
      <c r="E13" s="67"/>
      <c r="F13" s="67"/>
      <c r="G13" s="59" t="s">
        <v>343</v>
      </c>
      <c r="H13" s="66" t="str">
        <f>CONCATENATE(D9," - ",F6)</f>
        <v>Painted, SA BTM - Lumicoat</v>
      </c>
      <c r="N13" s="59" t="s">
        <v>442</v>
      </c>
    </row>
    <row r="14" spans="1:14" x14ac:dyDescent="0.2">
      <c r="A14" s="59" t="s">
        <v>335</v>
      </c>
      <c r="B14" s="67" t="s">
        <v>334</v>
      </c>
      <c r="C14" s="59" t="s">
        <v>328</v>
      </c>
      <c r="D14" s="59" t="s">
        <v>327</v>
      </c>
      <c r="E14" s="67"/>
      <c r="F14" s="67"/>
      <c r="G14" s="59" t="s">
        <v>342</v>
      </c>
      <c r="H14" s="66" t="str">
        <f>CONCATENATE(D9," - ",F7)</f>
        <v>Painted, SA BTM - Metallic</v>
      </c>
    </row>
    <row r="15" spans="1:14" x14ac:dyDescent="0.2">
      <c r="B15" s="67"/>
      <c r="E15" s="67"/>
      <c r="F15" s="67"/>
      <c r="G15" s="67"/>
    </row>
    <row r="16" spans="1:14" s="68" customFormat="1" ht="21" x14ac:dyDescent="0.35">
      <c r="B16" s="150" t="s">
        <v>67</v>
      </c>
      <c r="C16" s="150"/>
      <c r="D16" s="150"/>
      <c r="E16" s="150"/>
      <c r="F16" s="150"/>
      <c r="G16" s="150"/>
      <c r="H16" s="150"/>
      <c r="I16" s="150" t="s">
        <v>189</v>
      </c>
      <c r="J16" s="150"/>
      <c r="K16" s="150"/>
      <c r="L16" s="150"/>
    </row>
    <row r="17" spans="1:13" s="69" customFormat="1" ht="12" x14ac:dyDescent="0.2">
      <c r="B17" s="69" t="s">
        <v>246</v>
      </c>
      <c r="D17" s="69" t="s">
        <v>247</v>
      </c>
      <c r="F17" s="69" t="s">
        <v>248</v>
      </c>
      <c r="H17" s="69" t="s">
        <v>249</v>
      </c>
      <c r="J17" s="69" t="s">
        <v>189</v>
      </c>
      <c r="L17" s="69" t="s">
        <v>250</v>
      </c>
    </row>
    <row r="18" spans="1:13" s="62" customFormat="1" ht="30" x14ac:dyDescent="0.25">
      <c r="A18" s="62" t="s">
        <v>111</v>
      </c>
      <c r="B18" s="63" t="s">
        <v>23</v>
      </c>
      <c r="C18" s="62" t="s">
        <v>111</v>
      </c>
      <c r="D18" s="63" t="s">
        <v>32</v>
      </c>
      <c r="E18" s="62" t="s">
        <v>111</v>
      </c>
      <c r="F18" s="63" t="s">
        <v>68</v>
      </c>
      <c r="G18" s="62" t="s">
        <v>111</v>
      </c>
      <c r="H18" s="63" t="s">
        <v>33</v>
      </c>
      <c r="I18" s="62" t="s">
        <v>111</v>
      </c>
      <c r="J18" s="63" t="s">
        <v>34</v>
      </c>
      <c r="K18" s="62" t="s">
        <v>111</v>
      </c>
      <c r="L18" s="63" t="s">
        <v>36</v>
      </c>
    </row>
    <row r="19" spans="1:13" x14ac:dyDescent="0.2">
      <c r="A19" s="66"/>
      <c r="B19" s="66" t="s">
        <v>24</v>
      </c>
      <c r="D19" s="66" t="s">
        <v>425</v>
      </c>
      <c r="F19" s="66" t="s">
        <v>425</v>
      </c>
      <c r="H19" s="66" t="s">
        <v>305</v>
      </c>
      <c r="J19" s="66" t="s">
        <v>425</v>
      </c>
      <c r="L19" s="66" t="s">
        <v>35</v>
      </c>
      <c r="M19" s="70"/>
    </row>
    <row r="20" spans="1:13" x14ac:dyDescent="0.2">
      <c r="A20" s="66"/>
      <c r="B20" s="66" t="s">
        <v>25</v>
      </c>
      <c r="C20" s="59" t="s">
        <v>192</v>
      </c>
      <c r="D20" s="66" t="s">
        <v>55</v>
      </c>
      <c r="E20" s="59" t="s">
        <v>205</v>
      </c>
      <c r="F20" s="66" t="s">
        <v>56</v>
      </c>
      <c r="G20" s="59" t="s">
        <v>207</v>
      </c>
      <c r="H20" s="66" t="s">
        <v>306</v>
      </c>
      <c r="I20" s="59" t="s">
        <v>229</v>
      </c>
      <c r="J20" s="66" t="s">
        <v>319</v>
      </c>
      <c r="K20" s="59" t="s">
        <v>234</v>
      </c>
      <c r="L20" s="66" t="s">
        <v>303</v>
      </c>
      <c r="M20" s="70"/>
    </row>
    <row r="21" spans="1:13" s="67" customFormat="1" x14ac:dyDescent="0.2">
      <c r="A21" s="66" t="s">
        <v>289</v>
      </c>
      <c r="B21" s="66" t="s">
        <v>26</v>
      </c>
      <c r="C21" s="59"/>
      <c r="D21" s="59"/>
      <c r="E21" s="59" t="s">
        <v>206</v>
      </c>
      <c r="F21" s="66" t="s">
        <v>57</v>
      </c>
      <c r="G21" s="59" t="s">
        <v>440</v>
      </c>
      <c r="H21" s="66" t="s">
        <v>307</v>
      </c>
      <c r="I21" s="59" t="s">
        <v>230</v>
      </c>
      <c r="J21" s="66" t="s">
        <v>320</v>
      </c>
      <c r="K21" s="59" t="s">
        <v>234</v>
      </c>
      <c r="L21" s="66" t="s">
        <v>301</v>
      </c>
      <c r="M21" s="71"/>
    </row>
    <row r="22" spans="1:13" x14ac:dyDescent="0.2">
      <c r="G22" s="59" t="s">
        <v>226</v>
      </c>
      <c r="H22" s="66" t="s">
        <v>308</v>
      </c>
      <c r="K22" s="59" t="s">
        <v>234</v>
      </c>
      <c r="L22" s="66" t="s">
        <v>302</v>
      </c>
      <c r="M22" s="71"/>
    </row>
    <row r="23" spans="1:13" x14ac:dyDescent="0.2">
      <c r="G23" s="59" t="s">
        <v>440</v>
      </c>
      <c r="H23" s="66" t="s">
        <v>311</v>
      </c>
      <c r="K23" s="59" t="s">
        <v>210</v>
      </c>
      <c r="L23" s="66" t="s">
        <v>474</v>
      </c>
      <c r="M23" s="71"/>
    </row>
    <row r="24" spans="1:13" x14ac:dyDescent="0.2">
      <c r="G24" s="59" t="s">
        <v>226</v>
      </c>
      <c r="H24" s="66" t="s">
        <v>312</v>
      </c>
      <c r="K24" s="59" t="s">
        <v>210</v>
      </c>
      <c r="L24" s="66" t="s">
        <v>475</v>
      </c>
      <c r="M24" s="71"/>
    </row>
    <row r="25" spans="1:13" x14ac:dyDescent="0.2">
      <c r="G25" s="59" t="s">
        <v>440</v>
      </c>
      <c r="H25" s="66" t="s">
        <v>313</v>
      </c>
      <c r="K25" s="59" t="s">
        <v>210</v>
      </c>
      <c r="L25" s="66" t="s">
        <v>476</v>
      </c>
      <c r="M25" s="70"/>
    </row>
    <row r="26" spans="1:13" x14ac:dyDescent="0.2">
      <c r="G26" s="59" t="s">
        <v>226</v>
      </c>
      <c r="H26" s="66" t="s">
        <v>314</v>
      </c>
      <c r="K26" s="59" t="s">
        <v>210</v>
      </c>
      <c r="L26" s="66" t="s">
        <v>477</v>
      </c>
      <c r="M26" s="70"/>
    </row>
    <row r="27" spans="1:13" x14ac:dyDescent="0.2">
      <c r="G27" s="59" t="s">
        <v>440</v>
      </c>
      <c r="H27" s="66" t="s">
        <v>309</v>
      </c>
      <c r="K27" s="59" t="s">
        <v>210</v>
      </c>
      <c r="L27" s="66" t="s">
        <v>478</v>
      </c>
      <c r="M27" s="70"/>
    </row>
    <row r="28" spans="1:13" x14ac:dyDescent="0.2">
      <c r="G28" s="59" t="s">
        <v>226</v>
      </c>
      <c r="H28" s="66" t="s">
        <v>310</v>
      </c>
      <c r="K28" s="59" t="s">
        <v>210</v>
      </c>
      <c r="L28" s="66" t="s">
        <v>479</v>
      </c>
    </row>
    <row r="29" spans="1:13" x14ac:dyDescent="0.2">
      <c r="G29" s="59" t="s">
        <v>440</v>
      </c>
      <c r="H29" s="66" t="s">
        <v>315</v>
      </c>
      <c r="K29" s="59" t="s">
        <v>210</v>
      </c>
      <c r="L29" s="66" t="s">
        <v>480</v>
      </c>
    </row>
    <row r="30" spans="1:13" x14ac:dyDescent="0.2">
      <c r="G30" s="59" t="s">
        <v>226</v>
      </c>
      <c r="H30" s="66" t="s">
        <v>316</v>
      </c>
      <c r="K30" s="59" t="s">
        <v>210</v>
      </c>
      <c r="L30" s="66" t="s">
        <v>481</v>
      </c>
    </row>
    <row r="31" spans="1:13" x14ac:dyDescent="0.2">
      <c r="G31" s="59" t="s">
        <v>440</v>
      </c>
      <c r="H31" s="66" t="s">
        <v>317</v>
      </c>
    </row>
    <row r="32" spans="1:13" x14ac:dyDescent="0.2">
      <c r="G32" s="59" t="s">
        <v>226</v>
      </c>
      <c r="H32" s="66" t="s">
        <v>318</v>
      </c>
      <c r="L32" s="66"/>
    </row>
    <row r="33" spans="1:14" x14ac:dyDescent="0.2">
      <c r="L33" s="66"/>
    </row>
    <row r="34" spans="1:14" x14ac:dyDescent="0.2">
      <c r="G34" s="59" t="s">
        <v>227</v>
      </c>
      <c r="H34" s="66" t="s">
        <v>232</v>
      </c>
    </row>
    <row r="35" spans="1:14" x14ac:dyDescent="0.2">
      <c r="G35" s="59" t="s">
        <v>228</v>
      </c>
      <c r="H35" s="66" t="s">
        <v>233</v>
      </c>
    </row>
    <row r="37" spans="1:14" s="68" customFormat="1" ht="21" x14ac:dyDescent="0.35">
      <c r="A37" s="150" t="s">
        <v>76</v>
      </c>
      <c r="B37" s="150"/>
      <c r="C37" s="150"/>
      <c r="D37" s="150"/>
      <c r="E37" s="150" t="s">
        <v>69</v>
      </c>
      <c r="F37" s="150"/>
      <c r="G37" s="150"/>
      <c r="H37" s="150"/>
      <c r="I37" s="150"/>
      <c r="J37" s="150"/>
      <c r="K37" s="150"/>
      <c r="L37" s="150"/>
      <c r="M37" s="150" t="s">
        <v>90</v>
      </c>
      <c r="N37" s="150"/>
    </row>
    <row r="38" spans="1:14" s="69" customFormat="1" ht="12" x14ac:dyDescent="0.2">
      <c r="B38" s="69" t="s">
        <v>251</v>
      </c>
      <c r="D38" s="69" t="s">
        <v>76</v>
      </c>
      <c r="F38" s="69" t="s">
        <v>252</v>
      </c>
      <c r="H38" s="69" t="s">
        <v>253</v>
      </c>
      <c r="J38" s="69" t="s">
        <v>254</v>
      </c>
      <c r="L38" s="69" t="s">
        <v>255</v>
      </c>
      <c r="N38" s="69" t="s">
        <v>256</v>
      </c>
    </row>
    <row r="39" spans="1:14" s="62" customFormat="1" ht="30" x14ac:dyDescent="0.25">
      <c r="A39" s="62" t="s">
        <v>111</v>
      </c>
      <c r="B39" s="63" t="s">
        <v>77</v>
      </c>
      <c r="C39" s="62" t="s">
        <v>111</v>
      </c>
      <c r="D39" s="63" t="s">
        <v>76</v>
      </c>
      <c r="E39" s="62" t="s">
        <v>111</v>
      </c>
      <c r="F39" s="63" t="s">
        <v>190</v>
      </c>
      <c r="G39" s="62" t="s">
        <v>111</v>
      </c>
      <c r="H39" s="63" t="s">
        <v>62</v>
      </c>
      <c r="I39" s="62" t="s">
        <v>111</v>
      </c>
      <c r="J39" s="63" t="s">
        <v>50</v>
      </c>
      <c r="K39" s="62" t="s">
        <v>111</v>
      </c>
      <c r="L39" s="63" t="s">
        <v>92</v>
      </c>
      <c r="M39" s="62" t="s">
        <v>111</v>
      </c>
      <c r="N39" s="63" t="s">
        <v>91</v>
      </c>
    </row>
    <row r="40" spans="1:14" x14ac:dyDescent="0.2">
      <c r="B40" s="66" t="s">
        <v>78</v>
      </c>
      <c r="D40" s="66" t="s">
        <v>425</v>
      </c>
      <c r="F40" s="66" t="s">
        <v>425</v>
      </c>
      <c r="H40" s="66" t="s">
        <v>63</v>
      </c>
      <c r="J40" s="66" t="s">
        <v>425</v>
      </c>
      <c r="L40" s="66" t="s">
        <v>15</v>
      </c>
      <c r="N40" s="66" t="s">
        <v>425</v>
      </c>
    </row>
    <row r="41" spans="1:14" x14ac:dyDescent="0.2">
      <c r="A41" s="70" t="s">
        <v>445</v>
      </c>
      <c r="B41" s="66" t="s">
        <v>418</v>
      </c>
      <c r="C41" s="72" t="s">
        <v>446</v>
      </c>
      <c r="D41" s="66" t="s">
        <v>44</v>
      </c>
      <c r="E41" s="59" t="s">
        <v>219</v>
      </c>
      <c r="F41" s="66" t="s">
        <v>51</v>
      </c>
      <c r="G41" s="59" t="s">
        <v>235</v>
      </c>
      <c r="H41" s="66" t="s">
        <v>64</v>
      </c>
      <c r="I41" s="59" t="s">
        <v>225</v>
      </c>
      <c r="J41" s="66" t="s">
        <v>336</v>
      </c>
      <c r="K41" s="59" t="s">
        <v>262</v>
      </c>
      <c r="L41" s="66" t="s">
        <v>106</v>
      </c>
      <c r="M41" s="59" t="s">
        <v>204</v>
      </c>
      <c r="N41" s="66" t="s">
        <v>37</v>
      </c>
    </row>
    <row r="42" spans="1:14" x14ac:dyDescent="0.2">
      <c r="A42" s="70" t="s">
        <v>286</v>
      </c>
      <c r="B42" s="66" t="s">
        <v>420</v>
      </c>
      <c r="C42" s="72" t="s">
        <v>447</v>
      </c>
      <c r="D42" s="66" t="s">
        <v>45</v>
      </c>
      <c r="E42" s="59" t="s">
        <v>218</v>
      </c>
      <c r="F42" s="66">
        <v>1250</v>
      </c>
      <c r="G42" s="59" t="s">
        <v>236</v>
      </c>
      <c r="H42" s="66" t="s">
        <v>237</v>
      </c>
      <c r="I42" s="59" t="s">
        <v>225</v>
      </c>
      <c r="J42" s="66" t="s">
        <v>337</v>
      </c>
      <c r="K42" s="59" t="s">
        <v>262</v>
      </c>
      <c r="L42" s="66" t="s">
        <v>61</v>
      </c>
      <c r="M42" s="59" t="s">
        <v>203</v>
      </c>
      <c r="N42" s="66" t="s">
        <v>38</v>
      </c>
    </row>
    <row r="43" spans="1:14" x14ac:dyDescent="0.2">
      <c r="A43" s="72" t="str">
        <f>CONCATENATE(A41,", ",A42)</f>
        <v>EL0015-500, AMLOK-R</v>
      </c>
      <c r="B43" s="66" t="s">
        <v>421</v>
      </c>
      <c r="C43" s="72" t="s">
        <v>447</v>
      </c>
      <c r="D43" s="66" t="s">
        <v>46</v>
      </c>
      <c r="E43" s="59" t="s">
        <v>222</v>
      </c>
      <c r="F43" s="66" t="s">
        <v>52</v>
      </c>
      <c r="I43" s="59" t="s">
        <v>223</v>
      </c>
      <c r="J43" s="66" t="s">
        <v>429</v>
      </c>
      <c r="N43" s="88"/>
    </row>
    <row r="44" spans="1:14" x14ac:dyDescent="0.2">
      <c r="E44" s="59" t="s">
        <v>220</v>
      </c>
      <c r="F44" s="66" t="s">
        <v>53</v>
      </c>
      <c r="I44" s="59" t="s">
        <v>224</v>
      </c>
      <c r="J44" s="66" t="s">
        <v>430</v>
      </c>
      <c r="N44" s="73" t="s">
        <v>491</v>
      </c>
    </row>
    <row r="45" spans="1:14" x14ac:dyDescent="0.2">
      <c r="D45" s="66" t="s">
        <v>441</v>
      </c>
      <c r="E45" s="59" t="s">
        <v>221</v>
      </c>
      <c r="F45" s="66" t="s">
        <v>54</v>
      </c>
      <c r="I45" s="59" t="s">
        <v>225</v>
      </c>
      <c r="J45" s="66" t="s">
        <v>431</v>
      </c>
      <c r="N45" s="73" t="s">
        <v>488</v>
      </c>
    </row>
    <row r="46" spans="1:14" x14ac:dyDescent="0.2">
      <c r="I46" s="59" t="s">
        <v>225</v>
      </c>
      <c r="J46" s="66" t="s">
        <v>432</v>
      </c>
      <c r="N46" s="73" t="s">
        <v>489</v>
      </c>
    </row>
    <row r="47" spans="1:14" x14ac:dyDescent="0.2">
      <c r="E47" s="59" t="s">
        <v>239</v>
      </c>
      <c r="F47" s="66" t="s">
        <v>238</v>
      </c>
      <c r="I47" s="59" t="s">
        <v>223</v>
      </c>
      <c r="J47" s="66" t="s">
        <v>433</v>
      </c>
      <c r="N47" s="73" t="s">
        <v>490</v>
      </c>
    </row>
    <row r="48" spans="1:14" x14ac:dyDescent="0.2">
      <c r="I48" s="59" t="s">
        <v>224</v>
      </c>
      <c r="J48" s="66" t="s">
        <v>434</v>
      </c>
    </row>
    <row r="50" spans="1:16" s="68" customFormat="1" ht="21" x14ac:dyDescent="0.35">
      <c r="A50" s="150" t="s">
        <v>70</v>
      </c>
      <c r="B50" s="150"/>
      <c r="C50" s="150"/>
      <c r="D50" s="150"/>
      <c r="E50" s="150" t="s">
        <v>287</v>
      </c>
      <c r="F50" s="150"/>
      <c r="I50" s="150" t="s">
        <v>66</v>
      </c>
      <c r="J50" s="150"/>
      <c r="K50" s="150"/>
      <c r="L50" s="150"/>
    </row>
    <row r="51" spans="1:16" s="61" customFormat="1" ht="12" x14ac:dyDescent="0.2">
      <c r="B51" s="61" t="s">
        <v>257</v>
      </c>
      <c r="D51" s="61" t="s">
        <v>258</v>
      </c>
      <c r="F51" s="61" t="s">
        <v>259</v>
      </c>
      <c r="I51" s="74"/>
      <c r="J51" s="74"/>
      <c r="K51" s="74"/>
      <c r="L51" s="74"/>
    </row>
    <row r="52" spans="1:16" s="62" customFormat="1" ht="30" x14ac:dyDescent="0.25">
      <c r="A52" s="62" t="s">
        <v>111</v>
      </c>
      <c r="B52" s="63" t="s">
        <v>93</v>
      </c>
      <c r="C52" s="62" t="s">
        <v>111</v>
      </c>
      <c r="D52" s="63" t="s">
        <v>48</v>
      </c>
      <c r="E52" s="62" t="s">
        <v>111</v>
      </c>
      <c r="F52" s="63" t="s">
        <v>47</v>
      </c>
      <c r="G52" s="62" t="s">
        <v>331</v>
      </c>
      <c r="H52" s="62" t="s">
        <v>332</v>
      </c>
      <c r="J52" s="63" t="s">
        <v>150</v>
      </c>
      <c r="L52" s="63" t="s">
        <v>188</v>
      </c>
      <c r="N52" s="63" t="s">
        <v>340</v>
      </c>
      <c r="P52" s="63" t="s">
        <v>341</v>
      </c>
    </row>
    <row r="53" spans="1:16" x14ac:dyDescent="0.2">
      <c r="B53" s="66" t="s">
        <v>425</v>
      </c>
      <c r="D53" s="66" t="s">
        <v>321</v>
      </c>
      <c r="F53" s="59" t="s">
        <v>49</v>
      </c>
      <c r="I53" s="59" t="s">
        <v>216</v>
      </c>
      <c r="J53" s="59" t="s">
        <v>113</v>
      </c>
      <c r="K53" s="59" t="s">
        <v>217</v>
      </c>
      <c r="L53" s="59" t="s">
        <v>151</v>
      </c>
      <c r="M53" s="59" t="s">
        <v>342</v>
      </c>
      <c r="N53" s="59" t="s">
        <v>344</v>
      </c>
      <c r="O53" s="59" t="s">
        <v>343</v>
      </c>
      <c r="P53" s="59" t="s">
        <v>381</v>
      </c>
    </row>
    <row r="54" spans="1:16" x14ac:dyDescent="0.2">
      <c r="A54" s="59" t="s">
        <v>212</v>
      </c>
      <c r="B54" s="66" t="s">
        <v>40</v>
      </c>
      <c r="D54" s="66" t="s">
        <v>486</v>
      </c>
      <c r="E54" s="75">
        <v>9</v>
      </c>
      <c r="F54" s="76">
        <v>8.625</v>
      </c>
      <c r="G54" s="59">
        <v>17.0625</v>
      </c>
      <c r="H54" s="59">
        <v>19</v>
      </c>
      <c r="I54" s="59" t="s">
        <v>216</v>
      </c>
      <c r="J54" s="59" t="s">
        <v>114</v>
      </c>
      <c r="K54" s="59" t="s">
        <v>217</v>
      </c>
      <c r="L54" s="59" t="s">
        <v>152</v>
      </c>
      <c r="M54" s="59" t="s">
        <v>342</v>
      </c>
      <c r="N54" s="59" t="s">
        <v>345</v>
      </c>
      <c r="O54" s="59" t="s">
        <v>343</v>
      </c>
      <c r="P54" s="59" t="s">
        <v>382</v>
      </c>
    </row>
    <row r="55" spans="1:16" x14ac:dyDescent="0.2">
      <c r="A55" s="59" t="s">
        <v>211</v>
      </c>
      <c r="B55" s="66" t="s">
        <v>39</v>
      </c>
      <c r="D55" s="66" t="s">
        <v>487</v>
      </c>
      <c r="E55" s="59">
        <v>11</v>
      </c>
      <c r="F55" s="76">
        <v>10.625</v>
      </c>
      <c r="G55" s="59">
        <v>19.0625</v>
      </c>
      <c r="H55" s="59">
        <v>21</v>
      </c>
      <c r="I55" s="59" t="s">
        <v>216</v>
      </c>
      <c r="J55" s="59" t="s">
        <v>115</v>
      </c>
      <c r="K55" s="59" t="s">
        <v>217</v>
      </c>
      <c r="L55" s="59" t="s">
        <v>153</v>
      </c>
      <c r="M55" s="59" t="s">
        <v>342</v>
      </c>
      <c r="N55" s="59" t="s">
        <v>346</v>
      </c>
      <c r="O55" s="59" t="s">
        <v>343</v>
      </c>
      <c r="P55" s="59" t="s">
        <v>383</v>
      </c>
    </row>
    <row r="56" spans="1:16" x14ac:dyDescent="0.2">
      <c r="A56" s="59" t="s">
        <v>213</v>
      </c>
      <c r="B56" s="66" t="s">
        <v>41</v>
      </c>
      <c r="D56" s="66" t="s">
        <v>484</v>
      </c>
      <c r="E56" s="67">
        <v>13</v>
      </c>
      <c r="F56" s="77">
        <v>12.6875</v>
      </c>
      <c r="G56" s="59">
        <v>21.0625</v>
      </c>
      <c r="H56" s="59">
        <f t="shared" ref="H56:H86" si="0">E56+10</f>
        <v>23</v>
      </c>
      <c r="I56" s="59" t="s">
        <v>216</v>
      </c>
      <c r="J56" s="59" t="s">
        <v>116</v>
      </c>
      <c r="K56" s="59" t="s">
        <v>217</v>
      </c>
      <c r="L56" s="59" t="s">
        <v>154</v>
      </c>
      <c r="M56" s="59" t="s">
        <v>342</v>
      </c>
      <c r="N56" s="59" t="s">
        <v>347</v>
      </c>
      <c r="O56" s="59" t="s">
        <v>343</v>
      </c>
      <c r="P56" s="59" t="s">
        <v>384</v>
      </c>
    </row>
    <row r="57" spans="1:16" x14ac:dyDescent="0.2">
      <c r="A57" s="59" t="s">
        <v>214</v>
      </c>
      <c r="B57" s="66" t="s">
        <v>42</v>
      </c>
      <c r="D57" s="66" t="s">
        <v>485</v>
      </c>
      <c r="E57" s="59">
        <v>15</v>
      </c>
      <c r="F57" s="76">
        <v>14.6875</v>
      </c>
      <c r="G57" s="59">
        <f>H56+0.0625</f>
        <v>23.0625</v>
      </c>
      <c r="H57" s="59">
        <f t="shared" si="0"/>
        <v>25</v>
      </c>
      <c r="I57" s="59" t="s">
        <v>216</v>
      </c>
      <c r="J57" s="59" t="s">
        <v>117</v>
      </c>
      <c r="K57" s="59" t="s">
        <v>217</v>
      </c>
      <c r="L57" s="59" t="s">
        <v>155</v>
      </c>
      <c r="M57" s="59" t="s">
        <v>342</v>
      </c>
      <c r="N57" s="59" t="s">
        <v>348</v>
      </c>
      <c r="O57" s="59" t="s">
        <v>343</v>
      </c>
      <c r="P57" s="59" t="s">
        <v>385</v>
      </c>
    </row>
    <row r="58" spans="1:16" x14ac:dyDescent="0.2">
      <c r="A58" s="59" t="s">
        <v>215</v>
      </c>
      <c r="B58" s="66" t="s">
        <v>43</v>
      </c>
      <c r="C58" s="59" t="s">
        <v>210</v>
      </c>
      <c r="D58" s="66" t="s">
        <v>100</v>
      </c>
      <c r="E58" s="59">
        <v>17</v>
      </c>
      <c r="F58" s="76">
        <v>16.75</v>
      </c>
      <c r="G58" s="59">
        <f>H57+0.0625</f>
        <v>25.0625</v>
      </c>
      <c r="H58" s="59">
        <f t="shared" si="0"/>
        <v>27</v>
      </c>
      <c r="I58" s="59" t="s">
        <v>216</v>
      </c>
      <c r="J58" s="59" t="s">
        <v>118</v>
      </c>
      <c r="K58" s="59" t="s">
        <v>217</v>
      </c>
      <c r="L58" s="59" t="s">
        <v>156</v>
      </c>
      <c r="M58" s="59" t="s">
        <v>342</v>
      </c>
      <c r="N58" s="59" t="s">
        <v>349</v>
      </c>
      <c r="O58" s="59" t="s">
        <v>343</v>
      </c>
      <c r="P58" s="59" t="s">
        <v>386</v>
      </c>
    </row>
    <row r="59" spans="1:16" x14ac:dyDescent="0.2">
      <c r="C59" s="59" t="s">
        <v>210</v>
      </c>
      <c r="D59" s="66" t="s">
        <v>101</v>
      </c>
      <c r="E59" s="59">
        <v>19</v>
      </c>
      <c r="F59" s="76">
        <v>18.75</v>
      </c>
      <c r="G59" s="59">
        <f>H58+0.0625</f>
        <v>27.0625</v>
      </c>
      <c r="H59" s="59">
        <f t="shared" si="0"/>
        <v>29</v>
      </c>
      <c r="I59" s="59" t="s">
        <v>216</v>
      </c>
      <c r="J59" s="59" t="s">
        <v>119</v>
      </c>
      <c r="K59" s="59" t="s">
        <v>217</v>
      </c>
      <c r="L59" s="59" t="s">
        <v>157</v>
      </c>
      <c r="M59" s="59" t="s">
        <v>342</v>
      </c>
      <c r="N59" s="59" t="s">
        <v>350</v>
      </c>
      <c r="O59" s="59" t="s">
        <v>343</v>
      </c>
      <c r="P59" s="59" t="s">
        <v>387</v>
      </c>
    </row>
    <row r="60" spans="1:16" s="67" customFormat="1" x14ac:dyDescent="0.2">
      <c r="B60" s="59"/>
      <c r="C60" s="59" t="s">
        <v>210</v>
      </c>
      <c r="D60" s="66" t="s">
        <v>102</v>
      </c>
      <c r="E60" s="59">
        <v>21</v>
      </c>
      <c r="F60" s="76">
        <v>20.8125</v>
      </c>
      <c r="G60" s="59">
        <f t="shared" ref="G60:G87" si="1">H59+0.0625</f>
        <v>29.0625</v>
      </c>
      <c r="H60" s="59">
        <f t="shared" si="0"/>
        <v>31</v>
      </c>
      <c r="I60" s="59" t="s">
        <v>216</v>
      </c>
      <c r="J60" s="59" t="s">
        <v>120</v>
      </c>
      <c r="K60" s="59" t="s">
        <v>217</v>
      </c>
      <c r="L60" s="59" t="s">
        <v>158</v>
      </c>
      <c r="M60" s="59" t="s">
        <v>342</v>
      </c>
      <c r="N60" s="59" t="s">
        <v>351</v>
      </c>
      <c r="O60" s="59" t="s">
        <v>343</v>
      </c>
      <c r="P60" s="59" t="s">
        <v>388</v>
      </c>
    </row>
    <row r="61" spans="1:16" x14ac:dyDescent="0.2">
      <c r="C61" s="59" t="s">
        <v>210</v>
      </c>
      <c r="D61" s="66" t="s">
        <v>103</v>
      </c>
      <c r="E61" s="67">
        <v>23</v>
      </c>
      <c r="F61" s="77">
        <v>22.8125</v>
      </c>
      <c r="G61" s="59">
        <f t="shared" si="1"/>
        <v>31.0625</v>
      </c>
      <c r="H61" s="59">
        <f t="shared" si="0"/>
        <v>33</v>
      </c>
      <c r="I61" s="59" t="s">
        <v>216</v>
      </c>
      <c r="J61" s="59" t="s">
        <v>121</v>
      </c>
      <c r="K61" s="59" t="s">
        <v>217</v>
      </c>
      <c r="L61" s="59" t="s">
        <v>159</v>
      </c>
      <c r="M61" s="59" t="s">
        <v>342</v>
      </c>
      <c r="N61" s="59" t="s">
        <v>352</v>
      </c>
      <c r="O61" s="59" t="s">
        <v>343</v>
      </c>
      <c r="P61" s="59" t="s">
        <v>389</v>
      </c>
    </row>
    <row r="62" spans="1:16" x14ac:dyDescent="0.2">
      <c r="C62" s="59" t="s">
        <v>210</v>
      </c>
      <c r="D62" s="66" t="s">
        <v>104</v>
      </c>
      <c r="E62" s="59">
        <v>25</v>
      </c>
      <c r="F62" s="76">
        <v>24.875</v>
      </c>
      <c r="G62" s="59">
        <f t="shared" si="1"/>
        <v>33.0625</v>
      </c>
      <c r="H62" s="59">
        <f t="shared" si="0"/>
        <v>35</v>
      </c>
      <c r="I62" s="59" t="s">
        <v>216</v>
      </c>
      <c r="J62" s="59" t="s">
        <v>122</v>
      </c>
      <c r="K62" s="59" t="s">
        <v>217</v>
      </c>
      <c r="L62" s="59" t="s">
        <v>160</v>
      </c>
      <c r="M62" s="59" t="s">
        <v>342</v>
      </c>
      <c r="N62" s="59" t="s">
        <v>353</v>
      </c>
      <c r="O62" s="59" t="s">
        <v>343</v>
      </c>
      <c r="P62" s="59" t="s">
        <v>390</v>
      </c>
    </row>
    <row r="63" spans="1:16" x14ac:dyDescent="0.2">
      <c r="C63" s="59" t="s">
        <v>210</v>
      </c>
      <c r="D63" s="66" t="s">
        <v>105</v>
      </c>
      <c r="E63" s="59">
        <v>27</v>
      </c>
      <c r="F63" s="76">
        <v>26.875</v>
      </c>
      <c r="G63" s="59">
        <f t="shared" si="1"/>
        <v>35.0625</v>
      </c>
      <c r="H63" s="59">
        <f t="shared" si="0"/>
        <v>37</v>
      </c>
      <c r="I63" s="59" t="s">
        <v>216</v>
      </c>
      <c r="J63" s="59" t="s">
        <v>123</v>
      </c>
      <c r="K63" s="59" t="s">
        <v>217</v>
      </c>
      <c r="L63" s="59" t="s">
        <v>161</v>
      </c>
      <c r="M63" s="59" t="s">
        <v>342</v>
      </c>
      <c r="N63" s="59" t="s">
        <v>354</v>
      </c>
      <c r="O63" s="59" t="s">
        <v>343</v>
      </c>
      <c r="P63" s="59" t="s">
        <v>391</v>
      </c>
    </row>
    <row r="64" spans="1:16" x14ac:dyDescent="0.2">
      <c r="E64" s="59">
        <v>29</v>
      </c>
      <c r="F64" s="76">
        <v>28.9375</v>
      </c>
      <c r="G64" s="59">
        <f t="shared" si="1"/>
        <v>37.0625</v>
      </c>
      <c r="H64" s="59">
        <f t="shared" si="0"/>
        <v>39</v>
      </c>
      <c r="I64" s="59" t="s">
        <v>216</v>
      </c>
      <c r="J64" s="59" t="s">
        <v>124</v>
      </c>
      <c r="K64" s="59" t="s">
        <v>217</v>
      </c>
      <c r="L64" s="59" t="s">
        <v>162</v>
      </c>
      <c r="M64" s="59" t="s">
        <v>342</v>
      </c>
      <c r="N64" s="59" t="s">
        <v>355</v>
      </c>
      <c r="O64" s="59" t="s">
        <v>343</v>
      </c>
      <c r="P64" s="59" t="s">
        <v>392</v>
      </c>
    </row>
    <row r="65" spans="5:16" x14ac:dyDescent="0.2">
      <c r="E65" s="59">
        <v>31</v>
      </c>
      <c r="F65" s="76">
        <v>30.9375</v>
      </c>
      <c r="G65" s="59">
        <f t="shared" si="1"/>
        <v>39.0625</v>
      </c>
      <c r="H65" s="59">
        <f t="shared" si="0"/>
        <v>41</v>
      </c>
      <c r="I65" s="59" t="s">
        <v>216</v>
      </c>
      <c r="J65" s="59" t="s">
        <v>125</v>
      </c>
      <c r="K65" s="59" t="s">
        <v>217</v>
      </c>
      <c r="L65" s="59" t="s">
        <v>163</v>
      </c>
      <c r="M65" s="59" t="s">
        <v>342</v>
      </c>
      <c r="N65" s="59" t="s">
        <v>356</v>
      </c>
      <c r="O65" s="59" t="s">
        <v>343</v>
      </c>
      <c r="P65" s="59" t="s">
        <v>393</v>
      </c>
    </row>
    <row r="66" spans="5:16" x14ac:dyDescent="0.2">
      <c r="E66" s="67">
        <v>33</v>
      </c>
      <c r="F66" s="77">
        <v>33</v>
      </c>
      <c r="G66" s="59">
        <f t="shared" si="1"/>
        <v>41.0625</v>
      </c>
      <c r="H66" s="59">
        <f t="shared" si="0"/>
        <v>43</v>
      </c>
      <c r="I66" s="59" t="s">
        <v>216</v>
      </c>
      <c r="J66" s="59" t="s">
        <v>126</v>
      </c>
      <c r="K66" s="59" t="s">
        <v>217</v>
      </c>
      <c r="L66" s="59" t="s">
        <v>164</v>
      </c>
      <c r="M66" s="59" t="s">
        <v>342</v>
      </c>
      <c r="N66" s="59" t="s">
        <v>357</v>
      </c>
      <c r="O66" s="59" t="s">
        <v>343</v>
      </c>
      <c r="P66" s="59" t="s">
        <v>394</v>
      </c>
    </row>
    <row r="67" spans="5:16" x14ac:dyDescent="0.2">
      <c r="E67" s="59">
        <v>35</v>
      </c>
      <c r="F67" s="76">
        <v>35</v>
      </c>
      <c r="G67" s="59">
        <f t="shared" si="1"/>
        <v>43.0625</v>
      </c>
      <c r="H67" s="59">
        <f t="shared" si="0"/>
        <v>45</v>
      </c>
      <c r="I67" s="59" t="s">
        <v>216</v>
      </c>
      <c r="J67" s="59" t="s">
        <v>127</v>
      </c>
      <c r="K67" s="59" t="s">
        <v>217</v>
      </c>
      <c r="L67" s="59" t="s">
        <v>165</v>
      </c>
      <c r="M67" s="59" t="s">
        <v>342</v>
      </c>
      <c r="N67" s="59" t="s">
        <v>358</v>
      </c>
      <c r="O67" s="59" t="s">
        <v>343</v>
      </c>
      <c r="P67" s="59" t="s">
        <v>395</v>
      </c>
    </row>
    <row r="68" spans="5:16" x14ac:dyDescent="0.2">
      <c r="E68" s="59">
        <v>37</v>
      </c>
      <c r="F68" s="76">
        <v>37.0625</v>
      </c>
      <c r="G68" s="59">
        <f t="shared" si="1"/>
        <v>45.0625</v>
      </c>
      <c r="H68" s="59">
        <f t="shared" si="0"/>
        <v>47</v>
      </c>
      <c r="I68" s="59" t="s">
        <v>216</v>
      </c>
      <c r="J68" s="59" t="s">
        <v>128</v>
      </c>
      <c r="K68" s="59" t="s">
        <v>217</v>
      </c>
      <c r="L68" s="59" t="s">
        <v>166</v>
      </c>
      <c r="M68" s="59" t="s">
        <v>342</v>
      </c>
      <c r="N68" s="59" t="s">
        <v>359</v>
      </c>
      <c r="O68" s="59" t="s">
        <v>343</v>
      </c>
      <c r="P68" s="59" t="s">
        <v>396</v>
      </c>
    </row>
    <row r="69" spans="5:16" x14ac:dyDescent="0.2">
      <c r="E69" s="59">
        <v>39</v>
      </c>
      <c r="F69" s="76">
        <v>37.0625</v>
      </c>
      <c r="G69" s="59">
        <f t="shared" si="1"/>
        <v>47.0625</v>
      </c>
      <c r="H69" s="59">
        <f t="shared" si="0"/>
        <v>49</v>
      </c>
      <c r="I69" s="59" t="s">
        <v>216</v>
      </c>
      <c r="J69" s="59" t="s">
        <v>129</v>
      </c>
      <c r="K69" s="59" t="s">
        <v>217</v>
      </c>
      <c r="L69" s="59" t="s">
        <v>167</v>
      </c>
      <c r="M69" s="59" t="s">
        <v>342</v>
      </c>
      <c r="N69" s="59" t="s">
        <v>360</v>
      </c>
      <c r="O69" s="59" t="s">
        <v>343</v>
      </c>
      <c r="P69" s="59" t="s">
        <v>397</v>
      </c>
    </row>
    <row r="70" spans="5:16" x14ac:dyDescent="0.2">
      <c r="E70" s="59">
        <v>41</v>
      </c>
      <c r="F70" s="76">
        <v>41.125</v>
      </c>
      <c r="G70" s="59">
        <f t="shared" si="1"/>
        <v>49.0625</v>
      </c>
      <c r="H70" s="59">
        <f t="shared" si="0"/>
        <v>51</v>
      </c>
      <c r="I70" s="59" t="s">
        <v>216</v>
      </c>
      <c r="J70" s="59" t="s">
        <v>130</v>
      </c>
      <c r="K70" s="59" t="s">
        <v>217</v>
      </c>
      <c r="L70" s="59" t="s">
        <v>168</v>
      </c>
      <c r="M70" s="59" t="s">
        <v>342</v>
      </c>
      <c r="N70" s="59" t="s">
        <v>361</v>
      </c>
      <c r="O70" s="59" t="s">
        <v>343</v>
      </c>
      <c r="P70" s="59" t="s">
        <v>398</v>
      </c>
    </row>
    <row r="71" spans="5:16" x14ac:dyDescent="0.2">
      <c r="E71" s="67">
        <v>44</v>
      </c>
      <c r="F71" s="77">
        <v>43.125</v>
      </c>
      <c r="G71" s="59">
        <f t="shared" si="1"/>
        <v>51.0625</v>
      </c>
      <c r="H71" s="59">
        <f t="shared" si="0"/>
        <v>54</v>
      </c>
      <c r="I71" s="59" t="s">
        <v>216</v>
      </c>
      <c r="J71" s="59" t="s">
        <v>131</v>
      </c>
      <c r="K71" s="59" t="s">
        <v>217</v>
      </c>
      <c r="L71" s="59" t="s">
        <v>169</v>
      </c>
      <c r="M71" s="59" t="s">
        <v>342</v>
      </c>
      <c r="N71" s="59" t="s">
        <v>362</v>
      </c>
      <c r="O71" s="59" t="s">
        <v>343</v>
      </c>
      <c r="P71" s="59" t="s">
        <v>399</v>
      </c>
    </row>
    <row r="72" spans="5:16" x14ac:dyDescent="0.2">
      <c r="E72" s="59">
        <v>46</v>
      </c>
      <c r="F72" s="76">
        <v>45.1875</v>
      </c>
      <c r="G72" s="59">
        <f t="shared" si="1"/>
        <v>54.0625</v>
      </c>
      <c r="H72" s="59">
        <f t="shared" si="0"/>
        <v>56</v>
      </c>
      <c r="I72" s="59" t="s">
        <v>216</v>
      </c>
      <c r="J72" s="59" t="s">
        <v>132</v>
      </c>
      <c r="K72" s="59" t="s">
        <v>217</v>
      </c>
      <c r="L72" s="59" t="s">
        <v>170</v>
      </c>
      <c r="M72" s="59" t="s">
        <v>342</v>
      </c>
      <c r="N72" s="59" t="s">
        <v>363</v>
      </c>
      <c r="O72" s="59" t="s">
        <v>343</v>
      </c>
      <c r="P72" s="59" t="s">
        <v>400</v>
      </c>
    </row>
    <row r="73" spans="5:16" x14ac:dyDescent="0.2">
      <c r="E73" s="59">
        <v>48</v>
      </c>
      <c r="F73" s="76">
        <v>47.1875</v>
      </c>
      <c r="G73" s="59">
        <f t="shared" si="1"/>
        <v>56.0625</v>
      </c>
      <c r="H73" s="59">
        <f t="shared" si="0"/>
        <v>58</v>
      </c>
      <c r="I73" s="59" t="s">
        <v>216</v>
      </c>
      <c r="J73" s="59" t="s">
        <v>133</v>
      </c>
      <c r="K73" s="59" t="s">
        <v>217</v>
      </c>
      <c r="L73" s="59" t="s">
        <v>171</v>
      </c>
      <c r="M73" s="59" t="s">
        <v>342</v>
      </c>
      <c r="N73" s="59" t="s">
        <v>364</v>
      </c>
      <c r="O73" s="59" t="s">
        <v>343</v>
      </c>
      <c r="P73" s="59" t="s">
        <v>401</v>
      </c>
    </row>
    <row r="74" spans="5:16" x14ac:dyDescent="0.2">
      <c r="E74" s="59">
        <v>50</v>
      </c>
      <c r="F74" s="76">
        <v>49.25</v>
      </c>
      <c r="G74" s="59">
        <f t="shared" si="1"/>
        <v>58.0625</v>
      </c>
      <c r="H74" s="59">
        <f t="shared" si="0"/>
        <v>60</v>
      </c>
      <c r="I74" s="59" t="s">
        <v>216</v>
      </c>
      <c r="J74" s="59" t="s">
        <v>134</v>
      </c>
      <c r="K74" s="59" t="s">
        <v>217</v>
      </c>
      <c r="L74" s="59" t="s">
        <v>172</v>
      </c>
      <c r="M74" s="59" t="s">
        <v>342</v>
      </c>
      <c r="N74" s="59" t="s">
        <v>365</v>
      </c>
      <c r="O74" s="59" t="s">
        <v>343</v>
      </c>
      <c r="P74" s="59" t="s">
        <v>402</v>
      </c>
    </row>
    <row r="75" spans="5:16" x14ac:dyDescent="0.2">
      <c r="E75" s="59">
        <v>52</v>
      </c>
      <c r="F75" s="76">
        <v>51.25</v>
      </c>
      <c r="G75" s="59">
        <f t="shared" si="1"/>
        <v>60.0625</v>
      </c>
      <c r="H75" s="59">
        <f t="shared" si="0"/>
        <v>62</v>
      </c>
      <c r="I75" s="59" t="s">
        <v>216</v>
      </c>
      <c r="J75" s="59" t="s">
        <v>135</v>
      </c>
      <c r="K75" s="59" t="s">
        <v>217</v>
      </c>
      <c r="L75" s="59" t="s">
        <v>173</v>
      </c>
      <c r="M75" s="59" t="s">
        <v>342</v>
      </c>
      <c r="N75" s="59" t="s">
        <v>366</v>
      </c>
      <c r="O75" s="59" t="s">
        <v>343</v>
      </c>
      <c r="P75" s="59" t="s">
        <v>403</v>
      </c>
    </row>
    <row r="76" spans="5:16" x14ac:dyDescent="0.2">
      <c r="E76" s="67">
        <v>54</v>
      </c>
      <c r="F76" s="77">
        <v>53.3125</v>
      </c>
      <c r="G76" s="59">
        <f t="shared" si="1"/>
        <v>62.0625</v>
      </c>
      <c r="H76" s="59">
        <f t="shared" si="0"/>
        <v>64</v>
      </c>
      <c r="I76" s="59" t="s">
        <v>216</v>
      </c>
      <c r="J76" s="59" t="s">
        <v>136</v>
      </c>
      <c r="K76" s="59" t="s">
        <v>217</v>
      </c>
      <c r="L76" s="59" t="s">
        <v>174</v>
      </c>
      <c r="M76" s="59" t="s">
        <v>342</v>
      </c>
      <c r="N76" s="59" t="s">
        <v>367</v>
      </c>
      <c r="O76" s="59" t="s">
        <v>343</v>
      </c>
      <c r="P76" s="59" t="s">
        <v>404</v>
      </c>
    </row>
    <row r="77" spans="5:16" x14ac:dyDescent="0.2">
      <c r="E77" s="59">
        <v>56</v>
      </c>
      <c r="F77" s="76">
        <v>55.3125</v>
      </c>
      <c r="G77" s="59">
        <f t="shared" si="1"/>
        <v>64.0625</v>
      </c>
      <c r="H77" s="59">
        <f t="shared" si="0"/>
        <v>66</v>
      </c>
      <c r="I77" s="59" t="s">
        <v>216</v>
      </c>
      <c r="J77" s="59" t="s">
        <v>137</v>
      </c>
      <c r="K77" s="59" t="s">
        <v>217</v>
      </c>
      <c r="L77" s="59" t="s">
        <v>175</v>
      </c>
      <c r="M77" s="59" t="s">
        <v>342</v>
      </c>
      <c r="N77" s="59" t="s">
        <v>368</v>
      </c>
      <c r="O77" s="59" t="s">
        <v>343</v>
      </c>
      <c r="P77" s="59" t="s">
        <v>405</v>
      </c>
    </row>
    <row r="78" spans="5:16" x14ac:dyDescent="0.2">
      <c r="E78" s="59">
        <v>58</v>
      </c>
      <c r="F78" s="76">
        <v>57.375</v>
      </c>
      <c r="G78" s="59">
        <f t="shared" si="1"/>
        <v>66.0625</v>
      </c>
      <c r="H78" s="59">
        <f t="shared" si="0"/>
        <v>68</v>
      </c>
      <c r="I78" s="59" t="s">
        <v>216</v>
      </c>
      <c r="J78" s="59" t="s">
        <v>138</v>
      </c>
      <c r="K78" s="59" t="s">
        <v>217</v>
      </c>
      <c r="L78" s="59" t="s">
        <v>176</v>
      </c>
      <c r="M78" s="59" t="s">
        <v>342</v>
      </c>
      <c r="N78" s="59" t="s">
        <v>369</v>
      </c>
      <c r="O78" s="59" t="s">
        <v>343</v>
      </c>
      <c r="P78" s="59" t="s">
        <v>406</v>
      </c>
    </row>
    <row r="79" spans="5:16" x14ac:dyDescent="0.2">
      <c r="E79" s="59">
        <v>60</v>
      </c>
      <c r="F79" s="76">
        <v>59.375</v>
      </c>
      <c r="G79" s="59">
        <f t="shared" si="1"/>
        <v>68.0625</v>
      </c>
      <c r="H79" s="59">
        <f t="shared" si="0"/>
        <v>70</v>
      </c>
      <c r="I79" s="59" t="s">
        <v>216</v>
      </c>
      <c r="J79" s="59" t="s">
        <v>139</v>
      </c>
      <c r="K79" s="59" t="s">
        <v>217</v>
      </c>
      <c r="L79" s="59" t="s">
        <v>177</v>
      </c>
      <c r="M79" s="59" t="s">
        <v>342</v>
      </c>
      <c r="N79" s="59" t="s">
        <v>370</v>
      </c>
      <c r="O79" s="59" t="s">
        <v>343</v>
      </c>
      <c r="P79" s="59" t="s">
        <v>407</v>
      </c>
    </row>
    <row r="80" spans="5:16" x14ac:dyDescent="0.2">
      <c r="E80" s="59">
        <v>62</v>
      </c>
      <c r="F80" s="76">
        <v>61.4375</v>
      </c>
      <c r="G80" s="59">
        <f t="shared" si="1"/>
        <v>70.0625</v>
      </c>
      <c r="H80" s="59">
        <f t="shared" si="0"/>
        <v>72</v>
      </c>
      <c r="I80" s="59" t="s">
        <v>216</v>
      </c>
      <c r="J80" s="59" t="s">
        <v>140</v>
      </c>
      <c r="K80" s="59" t="s">
        <v>217</v>
      </c>
      <c r="L80" s="59" t="s">
        <v>178</v>
      </c>
      <c r="M80" s="59" t="s">
        <v>342</v>
      </c>
      <c r="N80" s="59" t="s">
        <v>371</v>
      </c>
      <c r="O80" s="59" t="s">
        <v>343</v>
      </c>
      <c r="P80" s="59" t="s">
        <v>408</v>
      </c>
    </row>
    <row r="81" spans="5:16" x14ac:dyDescent="0.2">
      <c r="E81" s="67">
        <v>64</v>
      </c>
      <c r="F81" s="77">
        <v>63.4375</v>
      </c>
      <c r="G81" s="59">
        <f t="shared" si="1"/>
        <v>72.0625</v>
      </c>
      <c r="H81" s="59">
        <f t="shared" si="0"/>
        <v>74</v>
      </c>
      <c r="I81" s="59" t="s">
        <v>216</v>
      </c>
      <c r="J81" s="59" t="s">
        <v>141</v>
      </c>
      <c r="K81" s="59" t="s">
        <v>217</v>
      </c>
      <c r="L81" s="59" t="s">
        <v>179</v>
      </c>
      <c r="M81" s="59" t="s">
        <v>342</v>
      </c>
      <c r="N81" s="59" t="s">
        <v>372</v>
      </c>
      <c r="O81" s="59" t="s">
        <v>343</v>
      </c>
      <c r="P81" s="59" t="s">
        <v>409</v>
      </c>
    </row>
    <row r="82" spans="5:16" x14ac:dyDescent="0.2">
      <c r="E82" s="59">
        <v>66</v>
      </c>
      <c r="F82" s="76">
        <v>65.5</v>
      </c>
      <c r="G82" s="59">
        <f t="shared" si="1"/>
        <v>74.0625</v>
      </c>
      <c r="H82" s="59">
        <f t="shared" si="0"/>
        <v>76</v>
      </c>
      <c r="I82" s="59" t="s">
        <v>216</v>
      </c>
      <c r="J82" s="59" t="s">
        <v>142</v>
      </c>
      <c r="K82" s="59" t="s">
        <v>217</v>
      </c>
      <c r="L82" s="59" t="s">
        <v>180</v>
      </c>
      <c r="M82" s="59" t="s">
        <v>342</v>
      </c>
      <c r="N82" s="59" t="s">
        <v>373</v>
      </c>
      <c r="O82" s="59" t="s">
        <v>343</v>
      </c>
      <c r="P82" s="59" t="s">
        <v>410</v>
      </c>
    </row>
    <row r="83" spans="5:16" x14ac:dyDescent="0.2">
      <c r="E83" s="59">
        <v>68</v>
      </c>
      <c r="F83" s="76">
        <v>67.5</v>
      </c>
      <c r="G83" s="59">
        <f t="shared" si="1"/>
        <v>76.0625</v>
      </c>
      <c r="H83" s="59">
        <f t="shared" si="0"/>
        <v>78</v>
      </c>
      <c r="I83" s="59" t="s">
        <v>216</v>
      </c>
      <c r="J83" s="59" t="s">
        <v>143</v>
      </c>
      <c r="K83" s="59" t="s">
        <v>217</v>
      </c>
      <c r="L83" s="59" t="s">
        <v>181</v>
      </c>
      <c r="M83" s="59" t="s">
        <v>342</v>
      </c>
      <c r="N83" s="59" t="s">
        <v>374</v>
      </c>
      <c r="O83" s="59" t="s">
        <v>343</v>
      </c>
      <c r="P83" s="59" t="s">
        <v>411</v>
      </c>
    </row>
    <row r="84" spans="5:16" x14ac:dyDescent="0.2">
      <c r="E84" s="59">
        <v>70</v>
      </c>
      <c r="F84" s="76">
        <v>69.5</v>
      </c>
      <c r="G84" s="59">
        <f t="shared" si="1"/>
        <v>78.0625</v>
      </c>
      <c r="H84" s="59">
        <f t="shared" si="0"/>
        <v>80</v>
      </c>
      <c r="I84" s="59" t="s">
        <v>216</v>
      </c>
      <c r="J84" s="59" t="s">
        <v>144</v>
      </c>
      <c r="K84" s="59" t="s">
        <v>217</v>
      </c>
      <c r="L84" s="59" t="s">
        <v>182</v>
      </c>
      <c r="M84" s="59" t="s">
        <v>342</v>
      </c>
      <c r="N84" s="59" t="s">
        <v>375</v>
      </c>
      <c r="O84" s="59" t="s">
        <v>343</v>
      </c>
      <c r="P84" s="59" t="s">
        <v>412</v>
      </c>
    </row>
    <row r="85" spans="5:16" x14ac:dyDescent="0.2">
      <c r="E85" s="59">
        <v>72</v>
      </c>
      <c r="F85" s="76">
        <v>71.5625</v>
      </c>
      <c r="G85" s="59">
        <f t="shared" si="1"/>
        <v>80.0625</v>
      </c>
      <c r="H85" s="59">
        <f t="shared" si="0"/>
        <v>82</v>
      </c>
      <c r="I85" s="59" t="s">
        <v>216</v>
      </c>
      <c r="J85" s="59" t="s">
        <v>145</v>
      </c>
      <c r="K85" s="59" t="s">
        <v>217</v>
      </c>
      <c r="L85" s="59" t="s">
        <v>183</v>
      </c>
      <c r="M85" s="59" t="s">
        <v>342</v>
      </c>
      <c r="N85" s="59" t="s">
        <v>376</v>
      </c>
      <c r="O85" s="59" t="s">
        <v>343</v>
      </c>
      <c r="P85" s="59" t="s">
        <v>413</v>
      </c>
    </row>
    <row r="86" spans="5:16" x14ac:dyDescent="0.2">
      <c r="E86" s="67">
        <v>74</v>
      </c>
      <c r="F86" s="77">
        <v>73.625</v>
      </c>
      <c r="G86" s="59">
        <f t="shared" si="1"/>
        <v>82.0625</v>
      </c>
      <c r="H86" s="59">
        <f t="shared" si="0"/>
        <v>84</v>
      </c>
      <c r="I86" s="59" t="s">
        <v>216</v>
      </c>
      <c r="J86" s="59" t="s">
        <v>146</v>
      </c>
      <c r="K86" s="59" t="s">
        <v>217</v>
      </c>
      <c r="L86" s="59" t="s">
        <v>184</v>
      </c>
      <c r="M86" s="59" t="s">
        <v>342</v>
      </c>
      <c r="N86" s="59" t="s">
        <v>377</v>
      </c>
      <c r="O86" s="59" t="s">
        <v>343</v>
      </c>
      <c r="P86" s="59" t="s">
        <v>414</v>
      </c>
    </row>
    <row r="87" spans="5:16" x14ac:dyDescent="0.2">
      <c r="E87" s="59" t="s">
        <v>333</v>
      </c>
      <c r="G87" s="59">
        <f t="shared" si="1"/>
        <v>84.0625</v>
      </c>
      <c r="H87" s="59">
        <v>96</v>
      </c>
      <c r="I87" s="59" t="s">
        <v>216</v>
      </c>
      <c r="J87" s="59" t="s">
        <v>147</v>
      </c>
      <c r="K87" s="59" t="s">
        <v>217</v>
      </c>
      <c r="L87" s="59" t="s">
        <v>185</v>
      </c>
      <c r="M87" s="59" t="s">
        <v>342</v>
      </c>
      <c r="N87" s="59" t="s">
        <v>378</v>
      </c>
      <c r="O87" s="59" t="s">
        <v>343</v>
      </c>
      <c r="P87" s="59" t="s">
        <v>415</v>
      </c>
    </row>
    <row r="88" spans="5:16" x14ac:dyDescent="0.2">
      <c r="I88" s="59" t="s">
        <v>216</v>
      </c>
      <c r="J88" s="59" t="s">
        <v>148</v>
      </c>
      <c r="K88" s="59" t="s">
        <v>217</v>
      </c>
      <c r="L88" s="59" t="s">
        <v>186</v>
      </c>
      <c r="M88" s="59" t="s">
        <v>342</v>
      </c>
      <c r="N88" s="59" t="s">
        <v>379</v>
      </c>
      <c r="O88" s="59" t="s">
        <v>343</v>
      </c>
      <c r="P88" s="59" t="s">
        <v>416</v>
      </c>
    </row>
    <row r="89" spans="5:16" x14ac:dyDescent="0.2">
      <c r="I89" s="59" t="s">
        <v>216</v>
      </c>
      <c r="J89" s="59" t="s">
        <v>149</v>
      </c>
      <c r="K89" s="59" t="s">
        <v>217</v>
      </c>
      <c r="L89" s="59" t="s">
        <v>187</v>
      </c>
      <c r="M89" s="59" t="s">
        <v>342</v>
      </c>
      <c r="N89" s="59" t="s">
        <v>380</v>
      </c>
      <c r="O89" s="59" t="s">
        <v>343</v>
      </c>
      <c r="P89" s="59" t="s">
        <v>417</v>
      </c>
    </row>
  </sheetData>
  <mergeCells count="10">
    <mergeCell ref="C2:H2"/>
    <mergeCell ref="I2:N2"/>
    <mergeCell ref="I16:L16"/>
    <mergeCell ref="A50:D50"/>
    <mergeCell ref="B16:H16"/>
    <mergeCell ref="E50:F50"/>
    <mergeCell ref="I50:L50"/>
    <mergeCell ref="M37:N37"/>
    <mergeCell ref="E37:L37"/>
    <mergeCell ref="A37:D37"/>
  </mergeCells>
  <printOptions horizontalCentered="1"/>
  <pageMargins left="0.70866141732283472" right="0.70866141732283472" top="0.74803149606299213" bottom="0.74803149606299213" header="0.31496062992125984" footer="0.31496062992125984"/>
  <pageSetup scale="50" fitToHeight="10" orientation="landscape"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theme="1"/>
  </sheetPr>
  <dimension ref="A1:L41"/>
  <sheetViews>
    <sheetView topLeftCell="A5" workbookViewId="0">
      <selection activeCell="J22" sqref="J22"/>
    </sheetView>
  </sheetViews>
  <sheetFormatPr defaultColWidth="29.5703125" defaultRowHeight="15.75" x14ac:dyDescent="0.25"/>
  <cols>
    <col min="1" max="1" width="3.28515625" style="78" bestFit="1" customWidth="1"/>
    <col min="2" max="2" width="3.42578125" style="78" bestFit="1" customWidth="1"/>
    <col min="3" max="3" width="9.28515625" style="78" bestFit="1" customWidth="1"/>
    <col min="4" max="8" width="20.7109375" style="78" customWidth="1"/>
    <col min="9" max="9" width="14.140625" style="78" bestFit="1" customWidth="1"/>
    <col min="10" max="10" width="19" style="78" bestFit="1" customWidth="1"/>
    <col min="11" max="11" width="19" style="78" customWidth="1"/>
    <col min="12" max="12" width="15.5703125" style="78" bestFit="1" customWidth="1"/>
    <col min="13" max="16384" width="29.5703125" style="78"/>
  </cols>
  <sheetData>
    <row r="1" spans="1:12" ht="23.25" x14ac:dyDescent="0.35">
      <c r="A1" s="152" t="s">
        <v>279</v>
      </c>
      <c r="B1" s="152"/>
      <c r="C1" s="152"/>
      <c r="D1" s="152"/>
      <c r="E1" s="152"/>
      <c r="F1" s="152"/>
      <c r="G1" s="152"/>
      <c r="H1" s="152"/>
    </row>
    <row r="2" spans="1:12" x14ac:dyDescent="0.25">
      <c r="A2" s="153" t="s">
        <v>280</v>
      </c>
      <c r="B2" s="153"/>
      <c r="C2" s="153"/>
      <c r="D2" s="153"/>
      <c r="E2" s="153"/>
      <c r="F2" s="153"/>
      <c r="G2" s="153"/>
      <c r="H2" s="153"/>
    </row>
    <row r="3" spans="1:12" ht="31.5" x14ac:dyDescent="0.25">
      <c r="A3" s="151" t="s">
        <v>272</v>
      </c>
      <c r="B3" s="151"/>
      <c r="C3" s="151"/>
      <c r="D3" s="79" t="s">
        <v>273</v>
      </c>
      <c r="E3" s="79" t="s">
        <v>274</v>
      </c>
      <c r="F3" s="79" t="s">
        <v>277</v>
      </c>
      <c r="G3" s="79" t="s">
        <v>275</v>
      </c>
      <c r="H3" s="79" t="s">
        <v>276</v>
      </c>
    </row>
    <row r="4" spans="1:12" x14ac:dyDescent="0.25">
      <c r="A4" s="80">
        <v>12</v>
      </c>
      <c r="B4" s="81"/>
      <c r="C4" s="81">
        <v>18.9375</v>
      </c>
      <c r="D4" s="81">
        <v>5</v>
      </c>
      <c r="E4" s="81">
        <v>5.25</v>
      </c>
      <c r="F4" s="81">
        <v>2</v>
      </c>
      <c r="G4" s="81">
        <v>8.625</v>
      </c>
      <c r="H4" s="81">
        <v>10.5</v>
      </c>
    </row>
    <row r="5" spans="1:12" x14ac:dyDescent="0.25">
      <c r="A5" s="80">
        <v>19</v>
      </c>
      <c r="B5" s="81" t="s">
        <v>278</v>
      </c>
      <c r="C5" s="81">
        <v>34.9375</v>
      </c>
      <c r="D5" s="81">
        <v>6.25</v>
      </c>
      <c r="E5" s="81">
        <v>6.5</v>
      </c>
      <c r="F5" s="81">
        <v>2.5</v>
      </c>
      <c r="G5" s="81">
        <v>9.875</v>
      </c>
      <c r="H5" s="81">
        <v>10.5</v>
      </c>
    </row>
    <row r="6" spans="1:12" x14ac:dyDescent="0.25">
      <c r="A6" s="80">
        <v>35</v>
      </c>
      <c r="B6" s="81" t="s">
        <v>278</v>
      </c>
      <c r="C6" s="81">
        <v>53.9375</v>
      </c>
      <c r="D6" s="81">
        <v>7.375</v>
      </c>
      <c r="E6" s="81">
        <v>7.75</v>
      </c>
      <c r="F6" s="81">
        <v>3</v>
      </c>
      <c r="G6" s="81">
        <v>11.0625</v>
      </c>
      <c r="H6" s="81">
        <v>12</v>
      </c>
    </row>
    <row r="7" spans="1:12" x14ac:dyDescent="0.25">
      <c r="A7" s="80">
        <v>54</v>
      </c>
      <c r="B7" s="81" t="s">
        <v>278</v>
      </c>
      <c r="C7" s="81">
        <v>75.9375</v>
      </c>
      <c r="D7" s="81">
        <v>8.625</v>
      </c>
      <c r="E7" s="81">
        <v>9</v>
      </c>
      <c r="F7" s="81">
        <v>3.75</v>
      </c>
      <c r="G7" s="81">
        <v>12.3125</v>
      </c>
      <c r="H7" s="81">
        <v>13</v>
      </c>
    </row>
    <row r="8" spans="1:12" x14ac:dyDescent="0.25">
      <c r="A8" s="80">
        <v>76</v>
      </c>
      <c r="B8" s="81" t="s">
        <v>278</v>
      </c>
      <c r="C8" s="81">
        <v>84.9375</v>
      </c>
      <c r="D8" s="81">
        <v>9</v>
      </c>
      <c r="E8" s="81">
        <v>9.75</v>
      </c>
      <c r="F8" s="81">
        <v>4.25</v>
      </c>
      <c r="G8" s="81">
        <v>13.25</v>
      </c>
      <c r="H8" s="81">
        <v>14</v>
      </c>
    </row>
    <row r="9" spans="1:12" ht="56.25" x14ac:dyDescent="0.25">
      <c r="A9" s="82"/>
      <c r="B9" s="82"/>
      <c r="C9" s="82"/>
      <c r="D9" s="82"/>
      <c r="E9" s="83" t="s">
        <v>284</v>
      </c>
      <c r="F9" s="82"/>
      <c r="G9" s="83" t="s">
        <v>285</v>
      </c>
      <c r="H9" s="82"/>
    </row>
    <row r="10" spans="1:12" x14ac:dyDescent="0.25">
      <c r="A10" s="82"/>
      <c r="B10" s="82"/>
      <c r="C10" s="82"/>
      <c r="D10" s="82"/>
      <c r="E10" s="82"/>
      <c r="F10" s="82"/>
      <c r="G10" s="82"/>
      <c r="H10" s="82"/>
    </row>
    <row r="11" spans="1:12" x14ac:dyDescent="0.25">
      <c r="A11" s="153" t="s">
        <v>281</v>
      </c>
      <c r="B11" s="153"/>
      <c r="C11" s="153"/>
      <c r="D11" s="153"/>
      <c r="E11" s="153"/>
      <c r="F11" s="153"/>
      <c r="G11" s="153"/>
      <c r="H11" s="153"/>
    </row>
    <row r="12" spans="1:12" ht="31.5" x14ac:dyDescent="0.25">
      <c r="A12" s="151" t="s">
        <v>272</v>
      </c>
      <c r="B12" s="151"/>
      <c r="C12" s="151"/>
      <c r="D12" s="79" t="s">
        <v>273</v>
      </c>
      <c r="E12" s="79" t="s">
        <v>274</v>
      </c>
      <c r="F12" s="79" t="s">
        <v>277</v>
      </c>
      <c r="G12" s="79" t="s">
        <v>275</v>
      </c>
      <c r="H12" s="79" t="s">
        <v>276</v>
      </c>
    </row>
    <row r="13" spans="1:12" x14ac:dyDescent="0.25">
      <c r="A13" s="154" t="s">
        <v>282</v>
      </c>
      <c r="B13" s="154"/>
      <c r="C13" s="154"/>
      <c r="D13" s="81"/>
      <c r="E13" s="81"/>
      <c r="F13" s="81">
        <v>2</v>
      </c>
      <c r="G13" s="81"/>
      <c r="H13" s="81"/>
    </row>
    <row r="14" spans="1:12" x14ac:dyDescent="0.25">
      <c r="A14" s="156" t="s">
        <v>283</v>
      </c>
      <c r="B14" s="156"/>
      <c r="C14" s="156"/>
      <c r="D14" s="156"/>
      <c r="E14" s="156"/>
      <c r="F14" s="156"/>
      <c r="G14" s="156"/>
      <c r="H14" s="156"/>
    </row>
    <row r="16" spans="1:12" x14ac:dyDescent="0.25">
      <c r="A16" s="157" t="s">
        <v>329</v>
      </c>
      <c r="B16" s="157"/>
      <c r="C16" s="157"/>
      <c r="D16" s="157"/>
      <c r="E16" s="157"/>
      <c r="F16" s="157"/>
      <c r="G16" s="157"/>
      <c r="H16" s="157"/>
      <c r="I16" s="157"/>
      <c r="J16" s="157"/>
      <c r="K16" s="157"/>
      <c r="L16" s="157"/>
    </row>
    <row r="17" spans="1:12" x14ac:dyDescent="0.25">
      <c r="A17" s="155" t="s">
        <v>436</v>
      </c>
      <c r="B17" s="155"/>
      <c r="C17" s="155"/>
      <c r="D17" s="84" t="s">
        <v>325</v>
      </c>
      <c r="E17" s="84" t="s">
        <v>324</v>
      </c>
      <c r="F17" s="84" t="s">
        <v>330</v>
      </c>
      <c r="G17" s="84" t="s">
        <v>326</v>
      </c>
      <c r="H17" s="84" t="s">
        <v>435</v>
      </c>
      <c r="I17" s="84" t="s">
        <v>437</v>
      </c>
      <c r="J17" s="84" t="s">
        <v>438</v>
      </c>
      <c r="K17" s="84" t="s">
        <v>330</v>
      </c>
      <c r="L17" s="84" t="s">
        <v>443</v>
      </c>
    </row>
    <row r="18" spans="1:12" x14ac:dyDescent="0.25">
      <c r="A18" s="153">
        <v>1</v>
      </c>
      <c r="B18" s="153"/>
      <c r="C18" s="153"/>
      <c r="D18" s="85">
        <f>'ORDER - QUOTE FORM'!D17</f>
        <v>0</v>
      </c>
      <c r="E18" s="81">
        <f>MROUND('ORDER - QUOTE FORM'!E17,0.0625)</f>
        <v>0</v>
      </c>
      <c r="F18" s="86" t="str">
        <f>IF('ORDER - QUOTE FORM'!D17="","",
IF(AND('ORDER - QUOTE FORM'!C17&lt;&gt;"Front Roll (D)",D18=$F$13),"OK",
IF(AND(E18&gt;=$A$4,E18&lt;=$C$4,D18&gt;=$F$4),"OK",
IF(AND(E18&gt;=$A$5,E18&lt;=$C$5,D18&gt;=$F$5),"OK",
IF(AND(E18&gt;=$A$6,E18&lt;=$C$6,D18&gt;=$F$6),"OK",
IF(AND(E18&gt;=$A$7,E18&lt;=$C$7,D18&gt;=$F$7),"OK",
IF(AND(E18&gt;=$A$8,E18&lt;=$C$8,D18&gt;=$F$8),"OK","NO")))))))</f>
        <v/>
      </c>
      <c r="G18" s="86" t="str">
        <f>IF(AND(E18&gt;$A$4,E18&lt;$C$4),$F$4,IF(AND(E18&gt;$A$5,E18&lt;$C$5),$F$5,IF(AND(E18&gt;$A$6,E18&lt;$C$6),$F$6,IF(AND(E18&gt;$A$7,E18&lt;$C$7),$F$7,IF(AND(E18&gt;$A$8,E18&lt;$C$8),$F$8,IF(E18&gt;C8,"REVIEW REQ'D",""))))))</f>
        <v/>
      </c>
      <c r="H18" s="86" t="str">
        <f>IF(G18="REVIEW REQ'D","REVIEW REQ'D",IF(F18="OK","",CONCATENATE("**Min. ",G18,"'' Req'd**")))</f>
        <v>**Min. '' Req'd**</v>
      </c>
      <c r="I18" s="85" t="str">
        <f>IF('ORDER - QUOTE FORM'!H17="","",'ORDER - QUOTE FORM'!H17)</f>
        <v/>
      </c>
      <c r="J18" s="81" t="str">
        <f>IF(AND(E18&gt;=$A$4,E18&lt;=$C$4),$H$4,IF(AND(E18&gt;=$A$5,E18&lt;=$C$5),$H$5,IF(AND(E18&gt;=$A$6,E18&lt;=$C$6),$H$6,IF(AND(E18&gt;=$A$7,E18&lt;=$C$7),$H$7,IF(AND(E18&gt;=$A$8,E18&lt;=$C$8),$H$8,"")))))</f>
        <v/>
      </c>
      <c r="K18" s="81" t="str">
        <f>IF(G18&gt;=D18,"OK","NO")</f>
        <v>OK</v>
      </c>
      <c r="L18" s="81" t="str">
        <f>IF(I18&gt;=J18,"OK",CONCATENATE("MIN ",J18,"'' REQ'D"))</f>
        <v>OK</v>
      </c>
    </row>
    <row r="19" spans="1:12" x14ac:dyDescent="0.25">
      <c r="A19" s="153">
        <v>2</v>
      </c>
      <c r="B19" s="153"/>
      <c r="C19" s="153"/>
      <c r="D19" s="85">
        <f>'ORDER - QUOTE FORM'!D18</f>
        <v>0</v>
      </c>
      <c r="E19" s="81">
        <f>MROUND('ORDER - QUOTE FORM'!E18,0.0625)</f>
        <v>0</v>
      </c>
      <c r="F19" s="86" t="str">
        <f>IF('ORDER - QUOTE FORM'!D18="","",
IF(AND('ORDER - QUOTE FORM'!C18&lt;&gt;"Front Roll (D)",D19=$F$13),"OK",
IF(AND(E19&gt;=$A$4,E19&lt;=$C$4,D19&gt;=$F$4),"OK",
IF(AND(E19&gt;=$A$5,E19&lt;=$C$5,D19&gt;=$F$5),"OK",
IF(AND(E19&gt;=$A$6,E19&lt;=$C$6,D19&gt;=$F$6),"OK",
IF(AND(E19&gt;=$A$7,E19&lt;=$C$7,D19&gt;=$F$7),"OK",
IF(AND(E19&gt;=$A$8,E19&lt;=$C$8,D19&gt;=$F$8),"OK","NO")))))))</f>
        <v/>
      </c>
      <c r="G19" s="86" t="str">
        <f t="shared" ref="G19:G26" si="0">IF(AND(E19&gt;$A$4,E19&lt;$C$4),$F$4,IF(AND(E19&gt;$A$5,E19&lt;$C$5),$F$5,IF(AND(E19&gt;$A$6,E19&lt;$C$6),$F$6,IF(AND(E19&gt;$A$7,E19&lt;$C$7),$F$7,IF(AND(E19&gt;$A$8,E19&lt;$C$8),$F$8,IF(E19&gt;C9,"ENGINEERING REVIEW REQ'D",""))))))</f>
        <v/>
      </c>
      <c r="H19" s="86"/>
      <c r="I19" s="85" t="str">
        <f>IF('ORDER - QUOTE FORM'!H18="","",'ORDER - QUOTE FORM'!H18)</f>
        <v/>
      </c>
      <c r="J19" s="81" t="str">
        <f t="shared" ref="J19:J27" si="1">IF(AND(E19&gt;=$A$4,E19&lt;=$C$4),$H$4,IF(AND(E19&gt;=$A$5,E19&lt;=$C$5),$H$5,IF(AND(E19&gt;=$A$6,E19&lt;=$C$6),$H$6,IF(AND(E19&gt;=$A$7,E19&lt;=$C$7),$H$7,IF(AND(E19&gt;=$A$8,E19&lt;=$C$8),$H$8,"")))))</f>
        <v/>
      </c>
      <c r="K19" s="81" t="str">
        <f t="shared" ref="K19:K27" si="2">IF(G19&gt;=D19,"OK","NO")</f>
        <v>OK</v>
      </c>
      <c r="L19" s="81" t="str">
        <f t="shared" ref="L19:L27" si="3">IF(I19&gt;=J19,"OK",CONCATENATE("MIN ",J19,"'' REQ'D"))</f>
        <v>OK</v>
      </c>
    </row>
    <row r="20" spans="1:12" x14ac:dyDescent="0.25">
      <c r="A20" s="153">
        <v>3</v>
      </c>
      <c r="B20" s="153"/>
      <c r="C20" s="153"/>
      <c r="D20" s="85">
        <f>'ORDER - QUOTE FORM'!D19</f>
        <v>0</v>
      </c>
      <c r="E20" s="81">
        <f>MROUND('ORDER - QUOTE FORM'!E19,0.0625)</f>
        <v>0</v>
      </c>
      <c r="F20" s="86" t="str">
        <f>IF('ORDER - QUOTE FORM'!D19="","",
IF(AND('ORDER - QUOTE FORM'!C19&lt;&gt;"Front Roll (D)",D20=$F$13),"OK",
IF(AND(E20&gt;=$A$4,E20&lt;=$C$4,D20&gt;=$F$4),"OK",
IF(AND(E20&gt;=$A$5,E20&lt;=$C$5,D20&gt;=$F$5),"OK",
IF(AND(E20&gt;=$A$6,E20&lt;=$C$6,D20&gt;=$F$6),"OK",
IF(AND(E20&gt;=$A$7,E20&lt;=$C$7,D20&gt;=$F$7),"OK",
IF(AND(E20&gt;=$A$8,E20&lt;=$C$8,D20&gt;=$F$8),"OK","NO")))))))</f>
        <v/>
      </c>
      <c r="G20" s="86" t="str">
        <f t="shared" si="0"/>
        <v/>
      </c>
      <c r="H20" s="86"/>
      <c r="I20" s="85" t="str">
        <f>IF('ORDER - QUOTE FORM'!H19="","",'ORDER - QUOTE FORM'!H19)</f>
        <v/>
      </c>
      <c r="J20" s="81" t="str">
        <f t="shared" si="1"/>
        <v/>
      </c>
      <c r="K20" s="81" t="str">
        <f t="shared" si="2"/>
        <v>OK</v>
      </c>
      <c r="L20" s="81" t="str">
        <f t="shared" si="3"/>
        <v>OK</v>
      </c>
    </row>
    <row r="21" spans="1:12" x14ac:dyDescent="0.25">
      <c r="A21" s="153">
        <v>4</v>
      </c>
      <c r="B21" s="153"/>
      <c r="C21" s="153"/>
      <c r="D21" s="85">
        <f>'ORDER - QUOTE FORM'!D20</f>
        <v>0</v>
      </c>
      <c r="E21" s="81">
        <f>MROUND('ORDER - QUOTE FORM'!E20,0.0625)</f>
        <v>0</v>
      </c>
      <c r="F21" s="86" t="str">
        <f>IF('ORDER - QUOTE FORM'!D20="","",
IF(AND('ORDER - QUOTE FORM'!C20&lt;&gt;"Front Roll (D)",D21=$F$13),"OK",
IF(AND(E21&gt;=$A$4,E21&lt;=$C$4,D21&gt;=$F$4),"OK",
IF(AND(E21&gt;=$A$5,E21&lt;=$C$5,D21&gt;=$F$5),"OK",
IF(AND(E21&gt;=$A$6,E21&lt;=$C$6,D21&gt;=$F$6),"OK",
IF(AND(E21&gt;=$A$7,E21&lt;=$C$7,D21&gt;=$F$7),"OK",
IF(AND(E21&gt;=$A$8,E21&lt;=$C$8,D21&gt;=$F$8),"OK","NO")))))))</f>
        <v/>
      </c>
      <c r="G21" s="86" t="str">
        <f t="shared" si="0"/>
        <v/>
      </c>
      <c r="H21" s="86"/>
      <c r="I21" s="85" t="str">
        <f>IF('ORDER - QUOTE FORM'!H20="","",'ORDER - QUOTE FORM'!H20)</f>
        <v/>
      </c>
      <c r="J21" s="81" t="str">
        <f t="shared" si="1"/>
        <v/>
      </c>
      <c r="K21" s="81" t="str">
        <f t="shared" si="2"/>
        <v>OK</v>
      </c>
      <c r="L21" s="81" t="str">
        <f t="shared" si="3"/>
        <v>OK</v>
      </c>
    </row>
    <row r="22" spans="1:12" x14ac:dyDescent="0.25">
      <c r="A22" s="153">
        <v>5</v>
      </c>
      <c r="B22" s="153"/>
      <c r="C22" s="153"/>
      <c r="D22" s="85">
        <f>'ORDER - QUOTE FORM'!D21</f>
        <v>0</v>
      </c>
      <c r="E22" s="81">
        <f>MROUND('ORDER - QUOTE FORM'!E21,0.0625)</f>
        <v>0</v>
      </c>
      <c r="F22" s="86" t="str">
        <f>IF('ORDER - QUOTE FORM'!D21="","",
IF(AND('ORDER - QUOTE FORM'!C21&lt;&gt;"Front Roll (D)",D22=$F$13),"OK",
IF(AND(E22&gt;=$A$4,E22&lt;=$C$4,D22&gt;=$F$4),"OK",
IF(AND(E22&gt;=$A$5,E22&lt;=$C$5,D22&gt;=$F$5),"OK",
IF(AND(E22&gt;=$A$6,E22&lt;=$C$6,D22&gt;=$F$6),"OK",
IF(AND(E22&gt;=$A$7,E22&lt;=$C$7,D22&gt;=$F$7),"OK",
IF(AND(E22&gt;=$A$8,E22&lt;=$C$8,D22&gt;=$F$8),"OK","NO")))))))</f>
        <v/>
      </c>
      <c r="G22" s="86" t="str">
        <f t="shared" si="0"/>
        <v/>
      </c>
      <c r="H22" s="86"/>
      <c r="I22" s="85" t="str">
        <f>IF('ORDER - QUOTE FORM'!H21="","",'ORDER - QUOTE FORM'!H21)</f>
        <v/>
      </c>
      <c r="J22" s="81" t="str">
        <f t="shared" si="1"/>
        <v/>
      </c>
      <c r="K22" s="81" t="str">
        <f t="shared" si="2"/>
        <v>OK</v>
      </c>
      <c r="L22" s="81" t="str">
        <f t="shared" si="3"/>
        <v>OK</v>
      </c>
    </row>
    <row r="23" spans="1:12" x14ac:dyDescent="0.25">
      <c r="A23" s="153">
        <v>6</v>
      </c>
      <c r="B23" s="153"/>
      <c r="C23" s="153"/>
      <c r="D23" s="85">
        <f>'ORDER - QUOTE FORM'!D22</f>
        <v>0</v>
      </c>
      <c r="E23" s="81">
        <f>MROUND('ORDER - QUOTE FORM'!E22,0.0625)</f>
        <v>0</v>
      </c>
      <c r="F23" s="86" t="str">
        <f>IF('ORDER - QUOTE FORM'!D22="","",
IF(AND('ORDER - QUOTE FORM'!C22&lt;&gt;"Front Roll (D)",D23=$F$13),"OK",
IF(AND(E23&gt;=$A$4,E23&lt;=$C$4,D23&gt;=$F$4),"OK",
IF(AND(E23&gt;=$A$5,E23&lt;=$C$5,D23&gt;=$F$5),"OK",
IF(AND(E23&gt;=$A$6,E23&lt;=$C$6,D23&gt;=$F$6),"OK",
IF(AND(E23&gt;=$A$7,E23&lt;=$C$7,D23&gt;=$F$7),"OK",
IF(AND(E23&gt;=$A$8,E23&lt;=$C$8,D23&gt;=$F$8),"OK","NO")))))))</f>
        <v/>
      </c>
      <c r="G23" s="86" t="str">
        <f t="shared" si="0"/>
        <v/>
      </c>
      <c r="H23" s="86"/>
      <c r="I23" s="85" t="str">
        <f>IF('ORDER - QUOTE FORM'!H22="","",'ORDER - QUOTE FORM'!H22)</f>
        <v/>
      </c>
      <c r="J23" s="81" t="str">
        <f t="shared" si="1"/>
        <v/>
      </c>
      <c r="K23" s="81" t="str">
        <f t="shared" si="2"/>
        <v>OK</v>
      </c>
      <c r="L23" s="81" t="str">
        <f t="shared" si="3"/>
        <v>OK</v>
      </c>
    </row>
    <row r="24" spans="1:12" x14ac:dyDescent="0.25">
      <c r="A24" s="153">
        <v>7</v>
      </c>
      <c r="B24" s="153"/>
      <c r="C24" s="153"/>
      <c r="D24" s="85">
        <f>'ORDER - QUOTE FORM'!D23</f>
        <v>0</v>
      </c>
      <c r="E24" s="81">
        <f>MROUND('ORDER - QUOTE FORM'!E23,0.0625)</f>
        <v>0</v>
      </c>
      <c r="F24" s="86" t="str">
        <f>IF('ORDER - QUOTE FORM'!D23="","",
IF(AND('ORDER - QUOTE FORM'!C23&lt;&gt;"Front Roll (D)",D24=$F$13),"OK",
IF(AND(E24&gt;=$A$4,E24&lt;=$C$4,D24&gt;=$F$4),"OK",
IF(AND(E24&gt;=$A$5,E24&lt;=$C$5,D24&gt;=$F$5),"OK",
IF(AND(E24&gt;=$A$6,E24&lt;=$C$6,D24&gt;=$F$6),"OK",
IF(AND(E24&gt;=$A$7,E24&lt;=$C$7,D24&gt;=$F$7),"OK",
IF(AND(E24&gt;=$A$8,E24&lt;=$C$8,D24&gt;=$F$8),"OK","NO")))))))</f>
        <v/>
      </c>
      <c r="G24" s="86" t="str">
        <f t="shared" si="0"/>
        <v/>
      </c>
      <c r="H24" s="86"/>
      <c r="I24" s="85" t="str">
        <f>IF('ORDER - QUOTE FORM'!H23="","",'ORDER - QUOTE FORM'!H23)</f>
        <v/>
      </c>
      <c r="J24" s="81" t="str">
        <f t="shared" si="1"/>
        <v/>
      </c>
      <c r="K24" s="81" t="str">
        <f t="shared" si="2"/>
        <v>OK</v>
      </c>
      <c r="L24" s="81" t="str">
        <f t="shared" si="3"/>
        <v>OK</v>
      </c>
    </row>
    <row r="25" spans="1:12" x14ac:dyDescent="0.25">
      <c r="A25" s="153">
        <v>8</v>
      </c>
      <c r="B25" s="153"/>
      <c r="C25" s="153"/>
      <c r="D25" s="85">
        <f>'ORDER - QUOTE FORM'!D24</f>
        <v>0</v>
      </c>
      <c r="E25" s="81">
        <f>MROUND('ORDER - QUOTE FORM'!E24,0.0625)</f>
        <v>0</v>
      </c>
      <c r="F25" s="86" t="str">
        <f>IF('ORDER - QUOTE FORM'!D24="","",
IF(AND('ORDER - QUOTE FORM'!C24&lt;&gt;"Front Roll (D)",D25=$F$13),"OK",
IF(AND(E25&gt;=$A$4,E25&lt;=$C$4,D25&gt;=$F$4),"OK",
IF(AND(E25&gt;=$A$5,E25&lt;=$C$5,D25&gt;=$F$5),"OK",
IF(AND(E25&gt;=$A$6,E25&lt;=$C$6,D25&gt;=$F$6),"OK",
IF(AND(E25&gt;=$A$7,E25&lt;=$C$7,D25&gt;=$F$7),"OK",
IF(AND(E25&gt;=$A$8,E25&lt;=$C$8,D25&gt;=$F$8),"OK","NO")))))))</f>
        <v/>
      </c>
      <c r="G25" s="86" t="str">
        <f t="shared" si="0"/>
        <v/>
      </c>
      <c r="H25" s="86"/>
      <c r="I25" s="85" t="str">
        <f>IF('ORDER - QUOTE FORM'!H24="","",'ORDER - QUOTE FORM'!H24)</f>
        <v/>
      </c>
      <c r="J25" s="81" t="str">
        <f t="shared" si="1"/>
        <v/>
      </c>
      <c r="K25" s="81" t="str">
        <f t="shared" si="2"/>
        <v>OK</v>
      </c>
      <c r="L25" s="81" t="str">
        <f t="shared" si="3"/>
        <v>OK</v>
      </c>
    </row>
    <row r="26" spans="1:12" x14ac:dyDescent="0.25">
      <c r="A26" s="153">
        <v>9</v>
      </c>
      <c r="B26" s="153"/>
      <c r="C26" s="153"/>
      <c r="D26" s="85">
        <f>'ORDER - QUOTE FORM'!D25</f>
        <v>0</v>
      </c>
      <c r="E26" s="81">
        <f>MROUND('ORDER - QUOTE FORM'!E25,0.0625)</f>
        <v>0</v>
      </c>
      <c r="F26" s="86" t="str">
        <f>IF('ORDER - QUOTE FORM'!D25="","",
IF(AND('ORDER - QUOTE FORM'!C25&lt;&gt;"Front Roll (D)",D26=$F$13),"OK",
IF(AND(E26&gt;=$A$4,E26&lt;=$C$4,D26&gt;=$F$4),"OK",
IF(AND(E26&gt;=$A$5,E26&lt;=$C$5,D26&gt;=$F$5),"OK",
IF(AND(E26&gt;=$A$6,E26&lt;=$C$6,D26&gt;=$F$6),"OK",
IF(AND(E26&gt;=$A$7,E26&lt;=$C$7,D26&gt;=$F$7),"OK",
IF(AND(E26&gt;=$A$8,E26&lt;=$C$8,D26&gt;=$F$8),"OK","NO")))))))</f>
        <v/>
      </c>
      <c r="G26" s="86" t="str">
        <f t="shared" si="0"/>
        <v/>
      </c>
      <c r="H26" s="86"/>
      <c r="I26" s="85" t="str">
        <f>IF('ORDER - QUOTE FORM'!H25="","",'ORDER - QUOTE FORM'!H25)</f>
        <v/>
      </c>
      <c r="J26" s="81" t="str">
        <f t="shared" si="1"/>
        <v/>
      </c>
      <c r="K26" s="81" t="str">
        <f t="shared" si="2"/>
        <v>OK</v>
      </c>
      <c r="L26" s="81" t="str">
        <f t="shared" si="3"/>
        <v>OK</v>
      </c>
    </row>
    <row r="27" spans="1:12" x14ac:dyDescent="0.25">
      <c r="A27" s="153">
        <v>10</v>
      </c>
      <c r="B27" s="153"/>
      <c r="C27" s="153"/>
      <c r="D27" s="85">
        <f>'ORDER - QUOTE FORM'!D26</f>
        <v>0</v>
      </c>
      <c r="E27" s="81">
        <f>MROUND('ORDER - QUOTE FORM'!E26,0.0625)</f>
        <v>0</v>
      </c>
      <c r="F27" s="86" t="str">
        <f>IF('ORDER - QUOTE FORM'!D26="","",
IF(AND('ORDER - QUOTE FORM'!C26&lt;&gt;"Front Roll (D)",D27=$F$13),"OK",
IF(AND(E27&gt;=$A$4,E27&lt;=$C$4,D27&gt;=$F$4),"OK",
IF(AND(E27&gt;=$A$5,E27&lt;=$C$5,D27&gt;=$F$5),"OK",
IF(AND(E27&gt;=$A$6,E27&lt;=$C$6,D27&gt;=$F$6),"OK",
IF(AND(E27&gt;=$A$7,E27&lt;=$C$7,D27&gt;=$F$7),"OK",
IF(AND(E27&gt;=$A$8,E27&lt;=$C$8,D27&gt;=$F$8),"OK","NO")))))))</f>
        <v/>
      </c>
      <c r="G27" s="86" t="str">
        <f>IF(AND(E27&gt;$A$4,E27&lt;$C$4),$F$4,IF(AND(E27&gt;$A$5,E27&lt;$C$5),$F$5,IF(AND(E27&gt;$A$6,E27&lt;$C$6),$F$6,IF(AND(E27&gt;$A$7,E27&lt;$C$7),$F$7,IF(AND(E27&gt;$A$8,E27&lt;$C$8),$F$8,IF(E27&gt;A17,"ENGINEERING REVIEW REQ'D",""))))))</f>
        <v/>
      </c>
      <c r="H27" s="86"/>
      <c r="I27" s="85" t="str">
        <f>IF('ORDER - QUOTE FORM'!H26="","",'ORDER - QUOTE FORM'!H26)</f>
        <v/>
      </c>
      <c r="J27" s="81" t="str">
        <f t="shared" si="1"/>
        <v/>
      </c>
      <c r="K27" s="81" t="str">
        <f t="shared" si="2"/>
        <v>OK</v>
      </c>
      <c r="L27" s="81" t="str">
        <f t="shared" si="3"/>
        <v>OK</v>
      </c>
    </row>
    <row r="29" spans="1:12" x14ac:dyDescent="0.25">
      <c r="D29" s="85"/>
    </row>
    <row r="30" spans="1:12" x14ac:dyDescent="0.25">
      <c r="A30" s="87"/>
      <c r="B30" s="87"/>
      <c r="C30" s="87"/>
      <c r="D30" s="87"/>
      <c r="E30" s="87"/>
      <c r="F30" s="87"/>
      <c r="G30" s="87"/>
      <c r="H30" s="87"/>
    </row>
    <row r="31" spans="1:12" x14ac:dyDescent="0.25">
      <c r="A31" s="155" t="s">
        <v>436</v>
      </c>
      <c r="B31" s="155"/>
      <c r="C31" s="155"/>
      <c r="F31" s="84"/>
      <c r="G31" s="84"/>
      <c r="H31" s="84"/>
    </row>
    <row r="32" spans="1:12" x14ac:dyDescent="0.25">
      <c r="A32" s="153">
        <v>1</v>
      </c>
      <c r="B32" s="153"/>
      <c r="C32" s="153"/>
      <c r="F32" s="86"/>
      <c r="G32" s="86"/>
      <c r="H32" s="86"/>
    </row>
    <row r="33" spans="1:8" x14ac:dyDescent="0.25">
      <c r="A33" s="153">
        <v>2</v>
      </c>
      <c r="B33" s="153"/>
      <c r="C33" s="153"/>
      <c r="F33" s="86"/>
      <c r="G33" s="86"/>
      <c r="H33" s="86"/>
    </row>
    <row r="34" spans="1:8" x14ac:dyDescent="0.25">
      <c r="A34" s="153">
        <v>3</v>
      </c>
      <c r="B34" s="153"/>
      <c r="C34" s="153"/>
      <c r="F34" s="86"/>
      <c r="G34" s="86"/>
      <c r="H34" s="86"/>
    </row>
    <row r="35" spans="1:8" x14ac:dyDescent="0.25">
      <c r="A35" s="153">
        <v>4</v>
      </c>
      <c r="B35" s="153"/>
      <c r="C35" s="153"/>
      <c r="F35" s="86"/>
      <c r="G35" s="86"/>
      <c r="H35" s="86"/>
    </row>
    <row r="36" spans="1:8" x14ac:dyDescent="0.25">
      <c r="A36" s="153">
        <v>5</v>
      </c>
      <c r="B36" s="153"/>
      <c r="C36" s="153"/>
      <c r="F36" s="86"/>
      <c r="G36" s="86"/>
      <c r="H36" s="86"/>
    </row>
    <row r="37" spans="1:8" x14ac:dyDescent="0.25">
      <c r="A37" s="153">
        <v>6</v>
      </c>
      <c r="B37" s="153"/>
      <c r="C37" s="153"/>
      <c r="F37" s="86"/>
      <c r="G37" s="86"/>
      <c r="H37" s="86"/>
    </row>
    <row r="38" spans="1:8" x14ac:dyDescent="0.25">
      <c r="A38" s="153">
        <v>7</v>
      </c>
      <c r="B38" s="153"/>
      <c r="C38" s="153"/>
      <c r="F38" s="86"/>
      <c r="G38" s="86"/>
      <c r="H38" s="86"/>
    </row>
    <row r="39" spans="1:8" x14ac:dyDescent="0.25">
      <c r="A39" s="153">
        <v>8</v>
      </c>
      <c r="B39" s="153"/>
      <c r="C39" s="153"/>
      <c r="F39" s="86"/>
      <c r="G39" s="86"/>
      <c r="H39" s="86"/>
    </row>
    <row r="40" spans="1:8" x14ac:dyDescent="0.25">
      <c r="A40" s="153">
        <v>9</v>
      </c>
      <c r="B40" s="153"/>
      <c r="C40" s="153"/>
      <c r="F40" s="86"/>
      <c r="G40" s="86"/>
      <c r="H40" s="86"/>
    </row>
    <row r="41" spans="1:8" x14ac:dyDescent="0.25">
      <c r="A41" s="153">
        <v>10</v>
      </c>
      <c r="B41" s="153"/>
      <c r="C41" s="153"/>
      <c r="F41" s="86"/>
      <c r="G41" s="86"/>
      <c r="H41" s="86"/>
    </row>
  </sheetData>
  <mergeCells count="30">
    <mergeCell ref="A39:C39"/>
    <mergeCell ref="A40:C40"/>
    <mergeCell ref="A41:C41"/>
    <mergeCell ref="A16:L16"/>
    <mergeCell ref="A34:C34"/>
    <mergeCell ref="A35:C35"/>
    <mergeCell ref="A36:C36"/>
    <mergeCell ref="A37:C37"/>
    <mergeCell ref="A38:C38"/>
    <mergeCell ref="A27:C27"/>
    <mergeCell ref="A21:C21"/>
    <mergeCell ref="A31:C31"/>
    <mergeCell ref="A32:C32"/>
    <mergeCell ref="A33:C33"/>
    <mergeCell ref="A22:C22"/>
    <mergeCell ref="A23:C23"/>
    <mergeCell ref="A24:C24"/>
    <mergeCell ref="A25:C25"/>
    <mergeCell ref="A26:C26"/>
    <mergeCell ref="A13:C13"/>
    <mergeCell ref="A17:C17"/>
    <mergeCell ref="A18:C18"/>
    <mergeCell ref="A19:C19"/>
    <mergeCell ref="A20:C20"/>
    <mergeCell ref="A14:H14"/>
    <mergeCell ref="A3:C3"/>
    <mergeCell ref="A1:H1"/>
    <mergeCell ref="A2:H2"/>
    <mergeCell ref="A11:H11"/>
    <mergeCell ref="A12:C12"/>
  </mergeCells>
  <conditionalFormatting sqref="D19">
    <cfRule type="expression" priority="2">
      <formula>$F$20="NO"</formula>
    </cfRule>
  </conditionalFormatting>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27</vt:i4>
      </vt:variant>
    </vt:vector>
  </HeadingPairs>
  <TitlesOfParts>
    <vt:vector size="32" baseType="lpstr">
      <vt:lpstr>ORDER - QUOTE FORM</vt:lpstr>
      <vt:lpstr>COMPONENTS</vt:lpstr>
      <vt:lpstr>PARTS DIAGRAM</vt:lpstr>
      <vt:lpstr> </vt:lpstr>
      <vt:lpstr>-</vt:lpstr>
      <vt:lpstr>AMLOK</vt:lpstr>
      <vt:lpstr>AOPTION</vt:lpstr>
      <vt:lpstr>CONFIG</vt:lpstr>
      <vt:lpstr>CTG</vt:lpstr>
      <vt:lpstr>DAS</vt:lpstr>
      <vt:lpstr>DOPTION</vt:lpstr>
      <vt:lpstr>DS</vt:lpstr>
      <vt:lpstr>FINISH</vt:lpstr>
      <vt:lpstr>KL</vt:lpstr>
      <vt:lpstr>LB</vt:lpstr>
      <vt:lpstr>LENGTH</vt:lpstr>
      <vt:lpstr>LIFT</vt:lpstr>
      <vt:lpstr>LOPTION</vt:lpstr>
      <vt:lpstr>NP</vt:lpstr>
      <vt:lpstr>PAINT</vt:lpstr>
      <vt:lpstr>PAINTED</vt:lpstr>
      <vt:lpstr>POPTION</vt:lpstr>
      <vt:lpstr>'ORDER - QUOTE FORM'!Print_Area</vt:lpstr>
      <vt:lpstr>PS</vt:lpstr>
      <vt:lpstr>SD</vt:lpstr>
      <vt:lpstr>SF</vt:lpstr>
      <vt:lpstr>SHOES</vt:lpstr>
      <vt:lpstr>SP</vt:lpstr>
      <vt:lpstr>STRIKERS</vt:lpstr>
      <vt:lpstr>TG</vt:lpstr>
      <vt:lpstr>TM</vt:lpstr>
      <vt:lpstr>XX</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Brent Posthuma</dc:creator>
  <cp:lastModifiedBy>Leonard Pothier</cp:lastModifiedBy>
  <cp:lastPrinted>2020-10-18T16:27:37Z</cp:lastPrinted>
  <dcterms:created xsi:type="dcterms:W3CDTF">2020-03-25T16:25:40Z</dcterms:created>
  <dcterms:modified xsi:type="dcterms:W3CDTF">2025-11-25T17:31:46Z</dcterms:modified>
</cp:coreProperties>
</file>